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_说明" sheetId="1" state="visible" r:id="rId3"/>
    <sheet name="1_关键假设" sheetId="2" state="visible" r:id="rId4"/>
    <sheet name="2_启动投资" sheetId="3" state="visible" r:id="rId5"/>
    <sheet name="3_月度损益_单仓" sheetId="4" state="visible" r:id="rId6"/>
    <sheet name="4_年度汇总_扩张" sheetId="5" state="visible" r:id="rId7"/>
    <sheet name="5_敏感性_AOV_订单" sheetId="6" state="visible" r:id="rId8"/>
    <sheet name="6_敏感性_成本_净利" sheetId="7" state="visible" r:id="rId9"/>
    <sheet name="7_盈亏平衡" sheetId="8" state="visible" r:id="rId10"/>
    <sheet name="8_Y2Y3多业务线损益" sheetId="9" state="visible" r:id="rId11"/>
    <sheet name="9_业务线敏感性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<sst xmlns="http://schemas.openxmlformats.org/spreadsheetml/2006/main" count="275" uniqueCount="229">
  <si>
    <r>
      <rPr>
        <b val="true"/>
        <sz val="16"/>
        <color rgb="FF1E3A8A"/>
        <rFont val="Arial Unicode MS"/>
        <family val="2"/>
      </rPr>
      <t xml:space="preserve">长春成人用品项目 </t>
    </r>
    <r>
      <rPr>
        <b val="true"/>
        <sz val="16"/>
        <color rgb="FF1E3A8A"/>
        <rFont val="Arial"/>
        <family val="0"/>
        <charset val="1"/>
      </rPr>
      <t xml:space="preserve">· </t>
    </r>
    <r>
      <rPr>
        <b val="true"/>
        <sz val="16"/>
        <color rgb="FF1E3A8A"/>
        <rFont val="Arial Unicode MS"/>
        <family val="2"/>
      </rPr>
      <t xml:space="preserve">财务模型（路径 </t>
    </r>
    <r>
      <rPr>
        <b val="true"/>
        <sz val="16"/>
        <color rgb="FF1E3A8A"/>
        <rFont val="Arial"/>
        <family val="0"/>
        <charset val="1"/>
      </rPr>
      <t xml:space="preserve">1 </t>
    </r>
    <r>
      <rPr>
        <b val="true"/>
        <sz val="16"/>
        <color rgb="FF1E3A8A"/>
        <rFont val="Arial Unicode MS"/>
        <family val="2"/>
      </rPr>
      <t xml:space="preserve">闪电仓为主）</t>
    </r>
  </si>
  <si>
    <r>
      <rPr>
        <b val="true"/>
        <sz val="12"/>
        <rFont val="Arial"/>
        <family val="0"/>
        <charset val="1"/>
      </rPr>
      <t xml:space="preserve">Sheet </t>
    </r>
    <r>
      <rPr>
        <b val="true"/>
        <sz val="12"/>
        <rFont val="Arial Unicode MS"/>
        <family val="2"/>
      </rPr>
      <t xml:space="preserve">列表：</t>
    </r>
  </si>
  <si>
    <r>
      <rPr>
        <b val="true"/>
        <sz val="11"/>
        <rFont val="Arial"/>
        <family val="0"/>
        <charset val="1"/>
      </rPr>
      <t xml:space="preserve">1_</t>
    </r>
    <r>
      <rPr>
        <b val="true"/>
        <sz val="11"/>
        <rFont val="Arial Unicode MS"/>
        <family val="2"/>
      </rPr>
      <t xml:space="preserve">关键假设</t>
    </r>
  </si>
  <si>
    <r>
      <rPr>
        <sz val="11"/>
        <color theme="1"/>
        <rFont val="Arial Unicode MS"/>
        <family val="2"/>
      </rPr>
      <t xml:space="preserve">所有可调输入。蓝字 </t>
    </r>
    <r>
      <rPr>
        <sz val="11"/>
        <color theme="1"/>
        <rFont val="Calibri"/>
        <family val="2"/>
        <charset val="1"/>
      </rPr>
      <t xml:space="preserve">= </t>
    </r>
    <r>
      <rPr>
        <sz val="11"/>
        <color theme="1"/>
        <rFont val="Arial Unicode MS"/>
        <family val="2"/>
      </rPr>
      <t xml:space="preserve">输入；黄底 </t>
    </r>
    <r>
      <rPr>
        <sz val="11"/>
        <color theme="1"/>
        <rFont val="Calibri"/>
        <family val="2"/>
        <charset val="1"/>
      </rPr>
      <t xml:space="preserve">= </t>
    </r>
    <r>
      <rPr>
        <sz val="11"/>
        <color theme="1"/>
        <rFont val="Arial Unicode MS"/>
        <family val="2"/>
      </rPr>
      <t xml:space="preserve">关键假设；改这里全模型联动。</t>
    </r>
  </si>
  <si>
    <r>
      <rPr>
        <b val="true"/>
        <sz val="11"/>
        <rFont val="Arial"/>
        <family val="0"/>
        <charset val="1"/>
      </rPr>
      <t xml:space="preserve">2_</t>
    </r>
    <r>
      <rPr>
        <b val="true"/>
        <sz val="11"/>
        <rFont val="Arial Unicode MS"/>
        <family val="2"/>
      </rPr>
      <t xml:space="preserve">启动投资</t>
    </r>
  </si>
  <si>
    <r>
      <rPr>
        <sz val="11"/>
        <color theme="1"/>
        <rFont val="Arial Unicode MS"/>
        <family val="2"/>
      </rPr>
      <t xml:space="preserve">首仓启动一次性投入明细（约 </t>
    </r>
    <r>
      <rPr>
        <sz val="11"/>
        <color theme="1"/>
        <rFont val="Calibri"/>
        <family val="2"/>
        <charset val="1"/>
      </rPr>
      <t xml:space="preserve">9 </t>
    </r>
    <r>
      <rPr>
        <sz val="11"/>
        <color theme="1"/>
        <rFont val="Arial Unicode MS"/>
        <family val="2"/>
      </rPr>
      <t xml:space="preserve">万）。</t>
    </r>
  </si>
  <si>
    <r>
      <rPr>
        <b val="true"/>
        <sz val="11"/>
        <rFont val="Arial"/>
        <family val="0"/>
        <charset val="1"/>
      </rPr>
      <t xml:space="preserve">3_</t>
    </r>
    <r>
      <rPr>
        <b val="true"/>
        <sz val="11"/>
        <rFont val="Arial Unicode MS"/>
        <family val="2"/>
      </rPr>
      <t xml:space="preserve">月度损益</t>
    </r>
    <r>
      <rPr>
        <b val="true"/>
        <sz val="11"/>
        <rFont val="Arial"/>
        <family val="0"/>
        <charset val="1"/>
      </rPr>
      <t xml:space="preserve">_</t>
    </r>
    <r>
      <rPr>
        <b val="true"/>
        <sz val="11"/>
        <rFont val="Arial Unicode MS"/>
        <family val="2"/>
      </rPr>
      <t xml:space="preserve">单仓</t>
    </r>
  </si>
  <si>
    <r>
      <rPr>
        <sz val="11"/>
        <color theme="1"/>
        <rFont val="Calibri"/>
        <family val="2"/>
        <charset val="1"/>
      </rPr>
      <t xml:space="preserve">12 </t>
    </r>
    <r>
      <rPr>
        <sz val="11"/>
        <color theme="1"/>
        <rFont val="Arial Unicode MS"/>
        <family val="2"/>
      </rPr>
      <t xml:space="preserve">个月单仓损益滚动；含爬坡曲线。</t>
    </r>
  </si>
  <si>
    <r>
      <rPr>
        <b val="true"/>
        <sz val="11"/>
        <rFont val="Arial"/>
        <family val="0"/>
        <charset val="1"/>
      </rPr>
      <t xml:space="preserve">4_</t>
    </r>
    <r>
      <rPr>
        <b val="true"/>
        <sz val="11"/>
        <rFont val="Arial Unicode MS"/>
        <family val="2"/>
      </rPr>
      <t xml:space="preserve">年度汇总</t>
    </r>
    <r>
      <rPr>
        <b val="true"/>
        <sz val="11"/>
        <rFont val="Arial"/>
        <family val="0"/>
        <charset val="1"/>
      </rPr>
      <t xml:space="preserve">_</t>
    </r>
    <r>
      <rPr>
        <b val="true"/>
        <sz val="11"/>
        <rFont val="Arial Unicode MS"/>
        <family val="2"/>
      </rPr>
      <t xml:space="preserve">扩张</t>
    </r>
  </si>
  <si>
    <r>
      <rPr>
        <sz val="11"/>
        <color theme="1"/>
        <rFont val="Calibri"/>
        <family val="2"/>
        <charset val="1"/>
      </rPr>
      <t xml:space="preserve">Year1</t>
    </r>
    <r>
      <rPr>
        <sz val="11"/>
        <color theme="1"/>
        <rFont val="Arial Unicode MS"/>
        <family val="2"/>
      </rPr>
      <t xml:space="preserve">（</t>
    </r>
    <r>
      <rPr>
        <sz val="11"/>
        <color theme="1"/>
        <rFont val="Calibri"/>
        <family val="2"/>
        <charset val="1"/>
      </rPr>
      <t xml:space="preserve">1 </t>
    </r>
    <r>
      <rPr>
        <sz val="11"/>
        <color theme="1"/>
        <rFont val="Arial Unicode MS"/>
        <family val="2"/>
      </rPr>
      <t xml:space="preserve">仓）→ </t>
    </r>
    <r>
      <rPr>
        <sz val="11"/>
        <color theme="1"/>
        <rFont val="Calibri"/>
        <family val="2"/>
        <charset val="1"/>
      </rPr>
      <t xml:space="preserve">Year2</t>
    </r>
    <r>
      <rPr>
        <sz val="11"/>
        <color theme="1"/>
        <rFont val="Arial Unicode MS"/>
        <family val="2"/>
      </rPr>
      <t xml:space="preserve">（</t>
    </r>
    <r>
      <rPr>
        <sz val="11"/>
        <color theme="1"/>
        <rFont val="Calibri"/>
        <family val="2"/>
        <charset val="1"/>
      </rPr>
      <t xml:space="preserve">3 </t>
    </r>
    <r>
      <rPr>
        <sz val="11"/>
        <color theme="1"/>
        <rFont val="Arial Unicode MS"/>
        <family val="2"/>
      </rPr>
      <t xml:space="preserve">仓）→ </t>
    </r>
    <r>
      <rPr>
        <sz val="11"/>
        <color theme="1"/>
        <rFont val="Calibri"/>
        <family val="2"/>
        <charset val="1"/>
      </rPr>
      <t xml:space="preserve">Year3</t>
    </r>
    <r>
      <rPr>
        <sz val="11"/>
        <color theme="1"/>
        <rFont val="Arial Unicode MS"/>
        <family val="2"/>
      </rPr>
      <t xml:space="preserve">（</t>
    </r>
    <r>
      <rPr>
        <sz val="11"/>
        <color theme="1"/>
        <rFont val="Calibri"/>
        <family val="2"/>
        <charset val="1"/>
      </rPr>
      <t xml:space="preserve">5 </t>
    </r>
    <r>
      <rPr>
        <sz val="11"/>
        <color theme="1"/>
        <rFont val="Arial Unicode MS"/>
        <family val="2"/>
      </rPr>
      <t xml:space="preserve">仓 </t>
    </r>
    <r>
      <rPr>
        <sz val="11"/>
        <color theme="1"/>
        <rFont val="Calibri"/>
        <family val="2"/>
        <charset val="1"/>
      </rPr>
      <t xml:space="preserve">+ </t>
    </r>
    <r>
      <rPr>
        <sz val="11"/>
        <color theme="1"/>
        <rFont val="Arial Unicode MS"/>
        <family val="2"/>
      </rPr>
      <t xml:space="preserve">私域 </t>
    </r>
    <r>
      <rPr>
        <sz val="11"/>
        <color theme="1"/>
        <rFont val="Calibri"/>
        <family val="2"/>
        <charset val="1"/>
      </rPr>
      <t xml:space="preserve">+ B2B</t>
    </r>
    <r>
      <rPr>
        <sz val="11"/>
        <color theme="1"/>
        <rFont val="Arial Unicode MS"/>
        <family val="2"/>
      </rPr>
      <t xml:space="preserve">）。</t>
    </r>
  </si>
  <si>
    <r>
      <rPr>
        <b val="true"/>
        <sz val="11"/>
        <rFont val="Arial"/>
        <family val="0"/>
        <charset val="1"/>
      </rPr>
      <t xml:space="preserve">5_</t>
    </r>
    <r>
      <rPr>
        <b val="true"/>
        <sz val="11"/>
        <rFont val="Arial Unicode MS"/>
        <family val="2"/>
      </rPr>
      <t xml:space="preserve">敏感性</t>
    </r>
    <r>
      <rPr>
        <b val="true"/>
        <sz val="11"/>
        <rFont val="Arial"/>
        <family val="0"/>
        <charset val="1"/>
      </rPr>
      <t xml:space="preserve">_AOV_</t>
    </r>
    <r>
      <rPr>
        <b val="true"/>
        <sz val="11"/>
        <rFont val="Arial Unicode MS"/>
        <family val="2"/>
      </rPr>
      <t xml:space="preserve">订单</t>
    </r>
  </si>
  <si>
    <r>
      <rPr>
        <sz val="11"/>
        <color theme="1"/>
        <rFont val="Calibri"/>
        <family val="2"/>
        <charset val="1"/>
      </rPr>
      <t xml:space="preserve">2-way </t>
    </r>
    <r>
      <rPr>
        <sz val="11"/>
        <color theme="1"/>
        <rFont val="Arial Unicode MS"/>
        <family val="2"/>
      </rPr>
      <t xml:space="preserve">表：日单量 </t>
    </r>
    <r>
      <rPr>
        <sz val="11"/>
        <color theme="1"/>
        <rFont val="Calibri"/>
        <family val="2"/>
        <charset val="1"/>
      </rPr>
      <t xml:space="preserve">× </t>
    </r>
    <r>
      <rPr>
        <sz val="11"/>
        <color theme="1"/>
        <rFont val="Arial Unicode MS"/>
        <family val="2"/>
      </rPr>
      <t xml:space="preserve">客单价 → 月净利。</t>
    </r>
  </si>
  <si>
    <r>
      <rPr>
        <b val="true"/>
        <sz val="11"/>
        <rFont val="Arial"/>
        <family val="0"/>
        <charset val="1"/>
      </rPr>
      <t xml:space="preserve">6_</t>
    </r>
    <r>
      <rPr>
        <b val="true"/>
        <sz val="11"/>
        <rFont val="Arial Unicode MS"/>
        <family val="2"/>
      </rPr>
      <t xml:space="preserve">敏感性</t>
    </r>
    <r>
      <rPr>
        <b val="true"/>
        <sz val="11"/>
        <rFont val="Arial"/>
        <family val="0"/>
        <charset val="1"/>
      </rPr>
      <t xml:space="preserve">_</t>
    </r>
    <r>
      <rPr>
        <b val="true"/>
        <sz val="11"/>
        <rFont val="Arial Unicode MS"/>
        <family val="2"/>
      </rPr>
      <t xml:space="preserve">成本</t>
    </r>
    <r>
      <rPr>
        <b val="true"/>
        <sz val="11"/>
        <rFont val="Arial"/>
        <family val="0"/>
        <charset val="1"/>
      </rPr>
      <t xml:space="preserve">_</t>
    </r>
    <r>
      <rPr>
        <b val="true"/>
        <sz val="11"/>
        <rFont val="Arial Unicode MS"/>
        <family val="2"/>
      </rPr>
      <t xml:space="preserve">净利</t>
    </r>
  </si>
  <si>
    <r>
      <rPr>
        <sz val="11"/>
        <color theme="1"/>
        <rFont val="Calibri"/>
        <family val="2"/>
        <charset val="1"/>
      </rPr>
      <t xml:space="preserve">2-way </t>
    </r>
    <r>
      <rPr>
        <sz val="11"/>
        <color theme="1"/>
        <rFont val="Arial Unicode MS"/>
        <family val="2"/>
      </rPr>
      <t xml:space="preserve">表：商品成本率 </t>
    </r>
    <r>
      <rPr>
        <sz val="11"/>
        <color theme="1"/>
        <rFont val="Calibri"/>
        <family val="2"/>
        <charset val="1"/>
      </rPr>
      <t xml:space="preserve">× </t>
    </r>
    <r>
      <rPr>
        <sz val="11"/>
        <color theme="1"/>
        <rFont val="Arial Unicode MS"/>
        <family val="2"/>
      </rPr>
      <t xml:space="preserve">平台抽佣 → 净利率。</t>
    </r>
  </si>
  <si>
    <r>
      <rPr>
        <b val="true"/>
        <sz val="11"/>
        <rFont val="Arial"/>
        <family val="0"/>
        <charset val="1"/>
      </rPr>
      <t xml:space="preserve">7_</t>
    </r>
    <r>
      <rPr>
        <b val="true"/>
        <sz val="11"/>
        <rFont val="Arial Unicode MS"/>
        <family val="2"/>
      </rPr>
      <t xml:space="preserve">盈亏平衡</t>
    </r>
  </si>
  <si>
    <t xml:space="preserve">月度盈亏平衡日单量。</t>
  </si>
  <si>
    <r>
      <rPr>
        <b val="true"/>
        <sz val="11"/>
        <rFont val="Arial"/>
        <family val="0"/>
        <charset val="1"/>
      </rPr>
      <t xml:space="preserve">8_Y2Y3</t>
    </r>
    <r>
      <rPr>
        <b val="true"/>
        <sz val="11"/>
        <rFont val="Arial Unicode MS"/>
        <family val="2"/>
      </rPr>
      <t xml:space="preserve">多业务线损益</t>
    </r>
  </si>
  <si>
    <r>
      <rPr>
        <sz val="11"/>
        <color theme="1"/>
        <rFont val="Calibri"/>
        <family val="2"/>
        <charset val="1"/>
      </rPr>
      <t xml:space="preserve">Year 2 / Year 3 </t>
    </r>
    <r>
      <rPr>
        <sz val="11"/>
        <color theme="1"/>
        <rFont val="Arial Unicode MS"/>
        <family val="2"/>
      </rPr>
      <t xml:space="preserve">合并损益：</t>
    </r>
    <r>
      <rPr>
        <sz val="11"/>
        <color theme="1"/>
        <rFont val="Calibri"/>
        <family val="2"/>
        <charset val="1"/>
      </rPr>
      <t xml:space="preserve">3 </t>
    </r>
    <r>
      <rPr>
        <sz val="11"/>
        <color theme="1"/>
        <rFont val="Arial Unicode MS"/>
        <family val="2"/>
      </rPr>
      <t xml:space="preserve">闪电仓 </t>
    </r>
    <r>
      <rPr>
        <sz val="11"/>
        <color theme="1"/>
        <rFont val="Calibri"/>
        <family val="2"/>
        <charset val="1"/>
      </rPr>
      <t xml:space="preserve">+ </t>
    </r>
    <r>
      <rPr>
        <sz val="11"/>
        <color theme="1"/>
        <rFont val="Arial Unicode MS"/>
        <family val="2"/>
      </rPr>
      <t xml:space="preserve">抖音店 </t>
    </r>
    <r>
      <rPr>
        <sz val="11"/>
        <color theme="1"/>
        <rFont val="Calibri"/>
        <family val="2"/>
        <charset val="1"/>
      </rPr>
      <t xml:space="preserve">+ </t>
    </r>
    <r>
      <rPr>
        <sz val="11"/>
        <color theme="1"/>
        <rFont val="Arial Unicode MS"/>
        <family val="2"/>
      </rPr>
      <t xml:space="preserve">私域 </t>
    </r>
    <r>
      <rPr>
        <sz val="11"/>
        <color theme="1"/>
        <rFont val="Calibri"/>
        <family val="2"/>
        <charset val="1"/>
      </rPr>
      <t xml:space="preserve">+ B2B </t>
    </r>
    <r>
      <rPr>
        <sz val="11"/>
        <color theme="1"/>
        <rFont val="Arial Unicode MS"/>
        <family val="2"/>
      </rPr>
      <t xml:space="preserve">酒店。</t>
    </r>
  </si>
  <si>
    <r>
      <rPr>
        <b val="true"/>
        <sz val="11"/>
        <rFont val="Arial"/>
        <family val="0"/>
        <charset val="1"/>
      </rPr>
      <t xml:space="preserve">9_</t>
    </r>
    <r>
      <rPr>
        <b val="true"/>
        <sz val="11"/>
        <rFont val="Arial Unicode MS"/>
        <family val="2"/>
      </rPr>
      <t xml:space="preserve">业务线敏感性</t>
    </r>
  </si>
  <si>
    <r>
      <rPr>
        <sz val="11"/>
        <color theme="1"/>
        <rFont val="Arial Unicode MS"/>
        <family val="2"/>
      </rPr>
      <t xml:space="preserve">各业务线 </t>
    </r>
    <r>
      <rPr>
        <sz val="11"/>
        <color theme="1"/>
        <rFont val="Calibri"/>
        <family val="2"/>
        <charset val="1"/>
      </rPr>
      <t xml:space="preserve">GMV </t>
    </r>
    <r>
      <rPr>
        <sz val="11"/>
        <color theme="1"/>
        <rFont val="Arial Unicode MS"/>
        <family val="2"/>
      </rPr>
      <t xml:space="preserve">占比与净利率敏感性。</t>
    </r>
  </si>
  <si>
    <r>
      <rPr>
        <b val="true"/>
        <sz val="11"/>
        <rFont val="Arial Unicode MS"/>
        <family val="2"/>
      </rPr>
      <t xml:space="preserve">数据来源（已嵌入各 </t>
    </r>
    <r>
      <rPr>
        <b val="true"/>
        <sz val="11"/>
        <rFont val="Cambria"/>
        <family val="0"/>
        <charset val="1"/>
      </rPr>
      <t xml:space="preserve">Sheet </t>
    </r>
    <r>
      <rPr>
        <b val="true"/>
        <sz val="11"/>
        <rFont val="Arial Unicode MS"/>
        <family val="2"/>
      </rPr>
      <t xml:space="preserve">注释）：</t>
    </r>
  </si>
  <si>
    <r>
      <rPr>
        <sz val="11"/>
        <color theme="1"/>
        <rFont val="Arial Unicode MS"/>
        <family val="2"/>
      </rPr>
      <t xml:space="preserve">蓝色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输入 </t>
    </r>
    <r>
      <rPr>
        <sz val="11"/>
        <color theme="1"/>
        <rFont val="Calibri"/>
        <family val="2"/>
        <charset val="1"/>
      </rPr>
      <t xml:space="preserve">· </t>
    </r>
    <r>
      <rPr>
        <sz val="11"/>
        <color theme="1"/>
        <rFont val="Arial Unicode MS"/>
        <family val="2"/>
      </rPr>
      <t xml:space="preserve">黑色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公式 </t>
    </r>
    <r>
      <rPr>
        <sz val="11"/>
        <color theme="1"/>
        <rFont val="Calibri"/>
        <family val="2"/>
        <charset val="1"/>
      </rPr>
      <t xml:space="preserve">· </t>
    </r>
    <r>
      <rPr>
        <sz val="11"/>
        <color theme="1"/>
        <rFont val="Arial Unicode MS"/>
        <family val="2"/>
      </rPr>
      <t xml:space="preserve">绿色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跨表链接 </t>
    </r>
    <r>
      <rPr>
        <sz val="11"/>
        <color theme="1"/>
        <rFont val="Calibri"/>
        <family val="2"/>
        <charset val="1"/>
      </rPr>
      <t xml:space="preserve">· </t>
    </r>
    <r>
      <rPr>
        <sz val="11"/>
        <color theme="1"/>
        <rFont val="Arial Unicode MS"/>
        <family val="2"/>
      </rPr>
      <t xml:space="preserve">黄底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关键假设 </t>
    </r>
    <r>
      <rPr>
        <sz val="11"/>
        <color theme="1"/>
        <rFont val="Calibri"/>
        <family val="2"/>
        <charset val="1"/>
      </rPr>
      <t xml:space="preserve">· </t>
    </r>
    <r>
      <rPr>
        <sz val="11"/>
        <color theme="1"/>
        <rFont val="Arial Unicode MS"/>
        <family val="2"/>
      </rPr>
      <t xml:space="preserve">红底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负值 </t>
    </r>
    <r>
      <rPr>
        <sz val="11"/>
        <color theme="1"/>
        <rFont val="Calibri"/>
        <family val="2"/>
        <charset val="1"/>
      </rPr>
      <t xml:space="preserve">· </t>
    </r>
    <r>
      <rPr>
        <sz val="11"/>
        <color theme="1"/>
        <rFont val="Arial Unicode MS"/>
        <family val="2"/>
      </rPr>
      <t xml:space="preserve">绿底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正值</t>
    </r>
  </si>
  <si>
    <r>
      <rPr>
        <sz val="11"/>
        <color theme="1"/>
        <rFont val="Calibri"/>
        <family val="2"/>
        <charset val="1"/>
      </rPr>
      <t xml:space="preserve">1. </t>
    </r>
    <r>
      <rPr>
        <sz val="11"/>
        <color theme="1"/>
        <rFont val="Arial Unicode MS"/>
        <family val="2"/>
      </rPr>
      <t xml:space="preserve">艾媒咨询 </t>
    </r>
    <r>
      <rPr>
        <sz val="11"/>
        <color theme="1"/>
        <rFont val="Calibri"/>
        <family val="2"/>
        <charset val="1"/>
      </rPr>
      <t xml:space="preserve">2024-2025 </t>
    </r>
    <r>
      <rPr>
        <sz val="11"/>
        <color theme="1"/>
        <rFont val="Arial Unicode MS"/>
        <family val="2"/>
      </rPr>
      <t xml:space="preserve">中国情趣用品行业报告（市场规模 </t>
    </r>
    <r>
      <rPr>
        <sz val="11"/>
        <color theme="1"/>
        <rFont val="Calibri"/>
        <family val="2"/>
        <charset val="1"/>
      </rPr>
      <t xml:space="preserve">2081 </t>
    </r>
    <r>
      <rPr>
        <sz val="11"/>
        <color theme="1"/>
        <rFont val="Arial Unicode MS"/>
        <family val="2"/>
      </rPr>
      <t xml:space="preserve">亿）</t>
    </r>
  </si>
  <si>
    <r>
      <rPr>
        <sz val="11"/>
        <color theme="1"/>
        <rFont val="Calibri"/>
        <family val="2"/>
        <charset val="1"/>
      </rPr>
      <t xml:space="preserve">2. CBNData</t>
    </r>
    <r>
      <rPr>
        <sz val="11"/>
        <color theme="1"/>
        <rFont val="Arial Unicode MS"/>
        <family val="2"/>
      </rPr>
      <t xml:space="preserve">：成人外卖暴利生意（客单价 </t>
    </r>
    <r>
      <rPr>
        <sz val="11"/>
        <color theme="1"/>
        <rFont val="Calibri"/>
        <family val="2"/>
        <charset val="1"/>
      </rPr>
      <t xml:space="preserve">65</t>
    </r>
    <r>
      <rPr>
        <sz val="11"/>
        <color theme="1"/>
        <rFont val="Arial Unicode MS"/>
        <family val="2"/>
      </rPr>
      <t xml:space="preserve">、复购 </t>
    </r>
    <r>
      <rPr>
        <sz val="11"/>
        <color theme="1"/>
        <rFont val="Calibri"/>
        <family val="2"/>
        <charset val="1"/>
      </rPr>
      <t xml:space="preserve">5-7%</t>
    </r>
    <r>
      <rPr>
        <sz val="11"/>
        <color theme="1"/>
        <rFont val="Arial Unicode MS"/>
        <family val="2"/>
      </rPr>
      <t xml:space="preserve">）</t>
    </r>
  </si>
  <si>
    <r>
      <rPr>
        <sz val="11"/>
        <color theme="1"/>
        <rFont val="Calibri"/>
        <family val="2"/>
        <charset val="1"/>
      </rPr>
      <t xml:space="preserve">3. 36 </t>
    </r>
    <r>
      <rPr>
        <sz val="11"/>
        <color theme="1"/>
        <rFont val="Arial Unicode MS"/>
        <family val="2"/>
      </rPr>
      <t xml:space="preserve">氪：闪电仓千亿大生意（投资 </t>
    </r>
    <r>
      <rPr>
        <sz val="11"/>
        <color theme="1"/>
        <rFont val="Calibri"/>
        <family val="2"/>
        <charset val="1"/>
      </rPr>
      <t xml:space="preserve">3 </t>
    </r>
    <r>
      <rPr>
        <sz val="11"/>
        <color theme="1"/>
        <rFont val="Arial Unicode MS"/>
        <family val="2"/>
      </rPr>
      <t xml:space="preserve">万、回本 </t>
    </r>
    <r>
      <rPr>
        <sz val="11"/>
        <color theme="1"/>
        <rFont val="Calibri"/>
        <family val="2"/>
        <charset val="1"/>
      </rPr>
      <t xml:space="preserve">2-3 </t>
    </r>
    <r>
      <rPr>
        <sz val="11"/>
        <color theme="1"/>
        <rFont val="Arial Unicode MS"/>
        <family val="2"/>
      </rPr>
      <t xml:space="preserve">月）</t>
    </r>
  </si>
  <si>
    <r>
      <rPr>
        <sz val="11"/>
        <color theme="1"/>
        <rFont val="Calibri"/>
        <family val="2"/>
        <charset val="1"/>
      </rPr>
      <t xml:space="preserve">4. </t>
    </r>
    <r>
      <rPr>
        <sz val="11"/>
        <color theme="1"/>
        <rFont val="Arial Unicode MS"/>
        <family val="2"/>
      </rPr>
      <t xml:space="preserve">美团闪购 </t>
    </r>
    <r>
      <rPr>
        <sz val="11"/>
        <color theme="1"/>
        <rFont val="Calibri"/>
        <family val="2"/>
        <charset val="1"/>
      </rPr>
      <t xml:space="preserve">618 </t>
    </r>
    <r>
      <rPr>
        <sz val="11"/>
        <color theme="1"/>
        <rFont val="Arial Unicode MS"/>
        <family val="2"/>
      </rPr>
      <t xml:space="preserve">数据（</t>
    </r>
    <r>
      <rPr>
        <sz val="11"/>
        <color theme="1"/>
        <rFont val="Calibri"/>
        <family val="2"/>
        <charset val="1"/>
      </rPr>
      <t xml:space="preserve">18 </t>
    </r>
    <r>
      <rPr>
        <sz val="11"/>
        <color theme="1"/>
        <rFont val="Arial Unicode MS"/>
        <family val="2"/>
      </rPr>
      <t xml:space="preserve">单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Arial Unicode MS"/>
        <family val="2"/>
      </rPr>
      <t xml:space="preserve">日均、客单 </t>
    </r>
    <r>
      <rPr>
        <sz val="11"/>
        <color theme="1"/>
        <rFont val="Calibri"/>
        <family val="2"/>
        <charset val="1"/>
      </rPr>
      <t xml:space="preserve">70</t>
    </r>
    <r>
      <rPr>
        <sz val="11"/>
        <color theme="1"/>
        <rFont val="Arial Unicode MS"/>
        <family val="2"/>
      </rPr>
      <t xml:space="preserve">）</t>
    </r>
  </si>
  <si>
    <r>
      <rPr>
        <sz val="11"/>
        <color theme="1"/>
        <rFont val="Calibri"/>
        <family val="2"/>
        <charset val="1"/>
      </rPr>
      <t xml:space="preserve">5. </t>
    </r>
    <r>
      <rPr>
        <sz val="11"/>
        <color theme="1"/>
        <rFont val="Arial Unicode MS"/>
        <family val="2"/>
      </rPr>
      <t xml:space="preserve">红黑人口库 长春各区数据（</t>
    </r>
    <r>
      <rPr>
        <sz val="11"/>
        <color theme="1"/>
        <rFont val="Calibri"/>
        <family val="2"/>
        <charset val="1"/>
      </rPr>
      <t xml:space="preserve">2024-2025</t>
    </r>
    <r>
      <rPr>
        <sz val="11"/>
        <color theme="1"/>
        <rFont val="Arial Unicode MS"/>
        <family val="2"/>
      </rPr>
      <t xml:space="preserve">）</t>
    </r>
  </si>
  <si>
    <r>
      <rPr>
        <b val="true"/>
        <sz val="16"/>
        <color rgb="FF1E3A8A"/>
        <rFont val="Arial Unicode MS"/>
        <family val="2"/>
      </rPr>
      <t xml:space="preserve">关键假设（蓝色</t>
    </r>
    <r>
      <rPr>
        <b val="true"/>
        <sz val="16"/>
        <color rgb="FF1E3A8A"/>
        <rFont val="Arial"/>
        <family val="0"/>
        <charset val="1"/>
      </rPr>
      <t xml:space="preserve">=</t>
    </r>
    <r>
      <rPr>
        <b val="true"/>
        <sz val="16"/>
        <color rgb="FF1E3A8A"/>
        <rFont val="Arial Unicode MS"/>
        <family val="2"/>
      </rPr>
      <t xml:space="preserve">可改输入，黄底</t>
    </r>
    <r>
      <rPr>
        <b val="true"/>
        <sz val="16"/>
        <color rgb="FF1E3A8A"/>
        <rFont val="Arial"/>
        <family val="0"/>
        <charset val="1"/>
      </rPr>
      <t xml:space="preserve">=</t>
    </r>
    <r>
      <rPr>
        <b val="true"/>
        <sz val="16"/>
        <color rgb="FF1E3A8A"/>
        <rFont val="Arial Unicode MS"/>
        <family val="2"/>
      </rPr>
      <t xml:space="preserve">核心驱动因子）</t>
    </r>
  </si>
  <si>
    <t xml:space="preserve">项目</t>
  </si>
  <si>
    <t xml:space="preserve">数值</t>
  </si>
  <si>
    <t xml:space="preserve">单位</t>
  </si>
  <si>
    <r>
      <rPr>
        <b val="true"/>
        <sz val="11"/>
        <color rgb="FFFFFFFF"/>
        <rFont val="Arial Unicode MS"/>
        <family val="2"/>
      </rPr>
      <t xml:space="preserve">说明 </t>
    </r>
    <r>
      <rPr>
        <b val="true"/>
        <sz val="11"/>
        <color rgb="FFFFFFFF"/>
        <rFont val="Arial"/>
        <family val="0"/>
        <charset val="1"/>
      </rPr>
      <t xml:space="preserve">/ </t>
    </r>
    <r>
      <rPr>
        <b val="true"/>
        <sz val="11"/>
        <color rgb="FFFFFFFF"/>
        <rFont val="Arial Unicode MS"/>
        <family val="2"/>
      </rPr>
      <t xml:space="preserve">数据源</t>
    </r>
  </si>
  <si>
    <t xml:space="preserve">一、收入端假设</t>
  </si>
  <si>
    <t xml:space="preserve">月稳定期日均订单数</t>
  </si>
  <si>
    <t xml:space="preserve">单</t>
  </si>
  <si>
    <r>
      <rPr>
        <sz val="11"/>
        <rFont val="Arial Unicode MS"/>
        <family val="2"/>
      </rPr>
      <t xml:space="preserve">美团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饿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抖音小时达综合</t>
    </r>
  </si>
  <si>
    <t xml:space="preserve">客单价</t>
  </si>
  <si>
    <t xml:space="preserve">元</t>
  </si>
  <si>
    <r>
      <rPr>
        <sz val="11"/>
        <rFont val="Arial Unicode MS"/>
        <family val="2"/>
      </rPr>
      <t xml:space="preserve">行业均值 </t>
    </r>
    <r>
      <rPr>
        <sz val="11"/>
        <rFont val="Arial"/>
        <family val="0"/>
        <charset val="1"/>
      </rPr>
      <t xml:space="preserve">65-100</t>
    </r>
    <r>
      <rPr>
        <sz val="11"/>
        <rFont val="Arial Unicode MS"/>
        <family val="2"/>
      </rPr>
      <t xml:space="preserve">，长春取保守值 </t>
    </r>
    <r>
      <rPr>
        <sz val="11"/>
        <rFont val="Arial"/>
        <family val="0"/>
        <charset val="1"/>
      </rPr>
      <t xml:space="preserve">70</t>
    </r>
  </si>
  <si>
    <t xml:space="preserve">月经营天数</t>
  </si>
  <si>
    <t xml:space="preserve">天</t>
  </si>
  <si>
    <t xml:space="preserve">商品成本率（占售价）</t>
  </si>
  <si>
    <t xml:space="preserve">%</t>
  </si>
  <si>
    <r>
      <rPr>
        <sz val="11"/>
        <rFont val="Arial Unicode MS"/>
        <family val="2"/>
      </rPr>
      <t xml:space="preserve">玩具 </t>
    </r>
    <r>
      <rPr>
        <sz val="11"/>
        <rFont val="Arial"/>
        <family val="0"/>
        <charset val="1"/>
      </rPr>
      <t xml:space="preserve">25-35% </t>
    </r>
    <r>
      <rPr>
        <sz val="11"/>
        <rFont val="Arial Unicode MS"/>
        <family val="2"/>
      </rPr>
      <t xml:space="preserve">内衣 </t>
    </r>
    <r>
      <rPr>
        <sz val="11"/>
        <rFont val="Arial"/>
        <family val="0"/>
        <charset val="1"/>
      </rPr>
      <t xml:space="preserve">20-30% </t>
    </r>
    <r>
      <rPr>
        <sz val="11"/>
        <rFont val="Arial Unicode MS"/>
        <family val="2"/>
      </rPr>
      <t xml:space="preserve">安全套 </t>
    </r>
    <r>
      <rPr>
        <sz val="11"/>
        <rFont val="Arial"/>
        <family val="0"/>
        <charset val="1"/>
      </rPr>
      <t xml:space="preserve">60% </t>
    </r>
    <r>
      <rPr>
        <sz val="11"/>
        <rFont val="Arial Unicode MS"/>
        <family val="2"/>
      </rPr>
      <t xml:space="preserve">综合</t>
    </r>
  </si>
  <si>
    <t xml:space="preserve">平台综合抽佣</t>
  </si>
  <si>
    <r>
      <rPr>
        <sz val="11"/>
        <rFont val="Arial Unicode MS"/>
        <family val="2"/>
      </rPr>
      <t xml:space="preserve">美团 </t>
    </r>
    <r>
      <rPr>
        <sz val="11"/>
        <rFont val="Arial"/>
        <family val="0"/>
        <charset val="1"/>
      </rPr>
      <t xml:space="preserve">6-8%</t>
    </r>
    <r>
      <rPr>
        <sz val="11"/>
        <rFont val="Arial Unicode MS"/>
        <family val="2"/>
      </rPr>
      <t xml:space="preserve">、饿 </t>
    </r>
    <r>
      <rPr>
        <sz val="11"/>
        <rFont val="Arial"/>
        <family val="0"/>
        <charset val="1"/>
      </rPr>
      <t xml:space="preserve">5-7%</t>
    </r>
    <r>
      <rPr>
        <sz val="11"/>
        <rFont val="Arial Unicode MS"/>
        <family val="2"/>
      </rPr>
      <t xml:space="preserve">、抖小 </t>
    </r>
    <r>
      <rPr>
        <sz val="11"/>
        <rFont val="Arial"/>
        <family val="0"/>
        <charset val="1"/>
      </rPr>
      <t xml:space="preserve">2-5% </t>
    </r>
    <r>
      <rPr>
        <sz val="11"/>
        <rFont val="Arial Unicode MS"/>
        <family val="2"/>
      </rPr>
      <t xml:space="preserve">综合</t>
    </r>
  </si>
  <si>
    <r>
      <rPr>
        <sz val="11"/>
        <rFont val="Arial Unicode MS"/>
        <family val="2"/>
      </rPr>
      <t xml:space="preserve">配送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优惠摊销</t>
    </r>
  </si>
  <si>
    <t xml:space="preserve">首单券、平台联合补贴</t>
  </si>
  <si>
    <t xml:space="preserve">退货率</t>
  </si>
  <si>
    <r>
      <rPr>
        <sz val="11"/>
        <rFont val="Arial Unicode MS"/>
        <family val="2"/>
      </rPr>
      <t xml:space="preserve">成人用品平均 </t>
    </r>
    <r>
      <rPr>
        <sz val="11"/>
        <rFont val="Arial"/>
        <family val="0"/>
        <charset val="1"/>
      </rPr>
      <t xml:space="preserve">1-3%</t>
    </r>
  </si>
  <si>
    <t xml:space="preserve">二、固定成本</t>
  </si>
  <si>
    <r>
      <rPr>
        <sz val="11"/>
        <rFont val="Arial Unicode MS"/>
        <family val="2"/>
      </rPr>
      <t xml:space="preserve">月房租（</t>
    </r>
    <r>
      <rPr>
        <sz val="11"/>
        <rFont val="Arial"/>
        <family val="0"/>
        <charset val="1"/>
      </rPr>
      <t xml:space="preserve">30</t>
    </r>
    <r>
      <rPr>
        <sz val="11"/>
        <rFont val="Arial Unicode MS"/>
        <family val="2"/>
      </rPr>
      <t xml:space="preserve">㎡ 闪电仓）</t>
    </r>
  </si>
  <si>
    <r>
      <rPr>
        <sz val="11"/>
        <color theme="1"/>
        <rFont val="Arial Unicode MS"/>
        <family val="2"/>
      </rPr>
      <t xml:space="preserve">元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Arial Unicode MS"/>
        <family val="2"/>
      </rPr>
      <t xml:space="preserve">月</t>
    </r>
  </si>
  <si>
    <r>
      <rPr>
        <sz val="11"/>
        <rFont val="Arial Unicode MS"/>
        <family val="2"/>
      </rPr>
      <t xml:space="preserve">桂林路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净月候选区间 </t>
    </r>
    <r>
      <rPr>
        <sz val="11"/>
        <rFont val="Arial"/>
        <family val="0"/>
        <charset val="1"/>
      </rPr>
      <t xml:space="preserve">2000-5000</t>
    </r>
  </si>
  <si>
    <r>
      <rPr>
        <sz val="11"/>
        <rFont val="Arial Unicode MS"/>
        <family val="2"/>
      </rPr>
      <t xml:space="preserve">人工（</t>
    </r>
    <r>
      <rPr>
        <sz val="11"/>
        <rFont val="Arial"/>
        <family val="0"/>
        <charset val="1"/>
      </rPr>
      <t xml:space="preserve">1.5 </t>
    </r>
    <r>
      <rPr>
        <sz val="11"/>
        <rFont val="Arial Unicode MS"/>
        <family val="2"/>
      </rPr>
      <t xml:space="preserve">人 </t>
    </r>
    <r>
      <rPr>
        <sz val="11"/>
        <rFont val="Arial"/>
        <family val="0"/>
        <charset val="1"/>
      </rPr>
      <t xml:space="preserve">× 4500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</si>
  <si>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店长 </t>
    </r>
    <r>
      <rPr>
        <sz val="11"/>
        <rFont val="Arial"/>
        <family val="0"/>
        <charset val="1"/>
      </rPr>
      <t xml:space="preserve">1 + </t>
    </r>
    <r>
      <rPr>
        <sz val="11"/>
        <rFont val="Arial Unicode MS"/>
        <family val="2"/>
      </rPr>
      <t xml:space="preserve">兼职 </t>
    </r>
    <r>
      <rPr>
        <sz val="11"/>
        <rFont val="Arial"/>
        <family val="0"/>
        <charset val="1"/>
      </rPr>
      <t xml:space="preserve">0.5</t>
    </r>
  </si>
  <si>
    <t xml:space="preserve">水电耗材</t>
  </si>
  <si>
    <t xml:space="preserve">营销投流</t>
  </si>
  <si>
    <r>
      <rPr>
        <sz val="11"/>
        <rFont val="Arial Unicode MS"/>
        <family val="2"/>
      </rPr>
      <t xml:space="preserve">美团竞价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抖音内容外包</t>
    </r>
  </si>
  <si>
    <r>
      <rPr>
        <sz val="11"/>
        <rFont val="Arial Unicode MS"/>
        <family val="2"/>
      </rPr>
      <t xml:space="preserve">私域工具</t>
    </r>
    <r>
      <rPr>
        <sz val="11"/>
        <rFont val="Arial"/>
        <family val="0"/>
        <charset val="1"/>
      </rPr>
      <t xml:space="preserve">/SaaS</t>
    </r>
  </si>
  <si>
    <r>
      <rPr>
        <sz val="11"/>
        <rFont val="Arial Unicode MS"/>
        <family val="2"/>
      </rPr>
      <t xml:space="preserve">企微 </t>
    </r>
    <r>
      <rPr>
        <sz val="11"/>
        <rFont val="Arial"/>
        <family val="0"/>
        <charset val="1"/>
      </rPr>
      <t xml:space="preserve">SCRM</t>
    </r>
  </si>
  <si>
    <r>
      <rPr>
        <sz val="11"/>
        <rFont val="Arial Unicode MS"/>
        <family val="2"/>
      </rPr>
      <t xml:space="preserve">合规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备案摊销</t>
    </r>
  </si>
  <si>
    <r>
      <rPr>
        <sz val="11"/>
        <rFont val="Arial Unicode MS"/>
        <family val="2"/>
      </rPr>
      <t xml:space="preserve">代办 </t>
    </r>
    <r>
      <rPr>
        <sz val="11"/>
        <rFont val="Arial"/>
        <family val="0"/>
        <charset val="1"/>
      </rPr>
      <t xml:space="preserve">3000 </t>
    </r>
    <r>
      <rPr>
        <sz val="11"/>
        <rFont val="Arial Unicode MS"/>
        <family val="2"/>
      </rPr>
      <t xml:space="preserve">摊 </t>
    </r>
    <r>
      <rPr>
        <sz val="11"/>
        <rFont val="Arial"/>
        <family val="0"/>
        <charset val="1"/>
      </rPr>
      <t xml:space="preserve">12 </t>
    </r>
    <r>
      <rPr>
        <sz val="11"/>
        <rFont val="Arial Unicode MS"/>
        <family val="2"/>
      </rPr>
      <t xml:space="preserve">月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后续维护</t>
    </r>
  </si>
  <si>
    <r>
      <rPr>
        <b val="true"/>
        <sz val="12"/>
        <color rgb="FF1E40AF"/>
        <rFont val="Arial Unicode MS"/>
        <family val="2"/>
      </rPr>
      <t xml:space="preserve">三、爬坡曲线（</t>
    </r>
    <r>
      <rPr>
        <b val="true"/>
        <sz val="12"/>
        <color rgb="FF1E40AF"/>
        <rFont val="Arial"/>
        <family val="0"/>
        <charset val="1"/>
      </rPr>
      <t xml:space="preserve">M1-M12 </t>
    </r>
    <r>
      <rPr>
        <b val="true"/>
        <sz val="12"/>
        <color rgb="FF1E40AF"/>
        <rFont val="Arial Unicode MS"/>
        <family val="2"/>
      </rPr>
      <t xml:space="preserve">月度日单量乘数）</t>
    </r>
  </si>
  <si>
    <t xml:space="preserve">月份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</si>
  <si>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</si>
  <si>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</si>
  <si>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</si>
  <si>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</si>
  <si>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</si>
  <si>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</si>
  <si>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</si>
  <si>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</si>
  <si>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</si>
  <si>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</si>
  <si>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</si>
  <si>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</si>
  <si>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日均订单乘数</t>
  </si>
  <si>
    <t xml:space="preserve">四、首仓启动投资</t>
  </si>
  <si>
    <t xml:space="preserve">房租押金（押二付一）</t>
  </si>
  <si>
    <t xml:space="preserve">装修货架</t>
  </si>
  <si>
    <r>
      <rPr>
        <sz val="11"/>
        <rFont val="Arial Unicode MS"/>
        <family val="2"/>
      </rPr>
      <t xml:space="preserve">首批进货 </t>
    </r>
    <r>
      <rPr>
        <sz val="11"/>
        <rFont val="Arial"/>
        <family val="0"/>
        <charset val="1"/>
      </rPr>
      <t xml:space="preserve">80 SKU</t>
    </r>
  </si>
  <si>
    <r>
      <rPr>
        <sz val="11"/>
        <rFont val="Arial Unicode MS"/>
        <family val="2"/>
      </rPr>
      <t xml:space="preserve">二类医疗器械备案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代办</t>
    </r>
  </si>
  <si>
    <r>
      <rPr>
        <sz val="11"/>
        <rFont val="Arial Unicode MS"/>
        <family val="2"/>
      </rPr>
      <t xml:space="preserve">进销存软件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电脑</t>
    </r>
  </si>
  <si>
    <r>
      <rPr>
        <sz val="11"/>
        <rFont val="Arial"/>
        <family val="0"/>
        <charset val="1"/>
      </rPr>
      <t xml:space="preserve">4 </t>
    </r>
    <r>
      <rPr>
        <sz val="11"/>
        <rFont val="Arial Unicode MS"/>
        <family val="2"/>
      </rPr>
      <t xml:space="preserve">端入驻保证金</t>
    </r>
  </si>
  <si>
    <r>
      <rPr>
        <sz val="11"/>
        <rFont val="Arial Unicode MS"/>
        <family val="2"/>
      </rPr>
      <t xml:space="preserve">包装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打印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耗材</t>
    </r>
  </si>
  <si>
    <t xml:space="preserve">启动营销</t>
  </si>
  <si>
    <t xml:space="preserve">流动资金</t>
  </si>
  <si>
    <t xml:space="preserve">启动投资合计</t>
  </si>
  <si>
    <t xml:space="preserve">启动投资明细（含成本回收测算）</t>
  </si>
  <si>
    <t xml:space="preserve">金额（元）</t>
  </si>
  <si>
    <t xml:space="preserve">备注</t>
  </si>
  <si>
    <r>
      <rPr>
        <sz val="11"/>
        <rFont val="Arial"/>
        <family val="0"/>
        <charset val="1"/>
      </rPr>
      <t xml:space="preserve">1500-2500/</t>
    </r>
    <r>
      <rPr>
        <sz val="11"/>
        <rFont val="Arial Unicode MS"/>
        <family val="2"/>
      </rPr>
      <t xml:space="preserve">月 </t>
    </r>
    <r>
      <rPr>
        <sz val="11"/>
        <rFont val="Arial"/>
        <family val="0"/>
        <charset val="1"/>
      </rPr>
      <t xml:space="preserve">× 3 </t>
    </r>
    <r>
      <rPr>
        <sz val="11"/>
        <rFont val="Arial Unicode MS"/>
        <family val="2"/>
      </rPr>
      <t xml:space="preserve">月，按 </t>
    </r>
    <r>
      <rPr>
        <sz val="11"/>
        <rFont val="Arial"/>
        <family val="0"/>
        <charset val="1"/>
      </rPr>
      <t xml:space="preserve">7500 </t>
    </r>
    <r>
      <rPr>
        <sz val="11"/>
        <rFont val="Arial Unicode MS"/>
        <family val="2"/>
      </rPr>
      <t xml:space="preserve">计</t>
    </r>
  </si>
  <si>
    <r>
      <rPr>
        <sz val="11"/>
        <rFont val="Arial Unicode MS"/>
        <family val="2"/>
      </rPr>
      <t xml:space="preserve">货架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简单粉刷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收银台</t>
    </r>
  </si>
  <si>
    <r>
      <rPr>
        <sz val="11"/>
        <rFont val="Arial Unicode MS"/>
        <family val="2"/>
      </rPr>
      <t xml:space="preserve">义乌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京东</t>
    </r>
    <r>
      <rPr>
        <sz val="11"/>
        <rFont val="Arial"/>
        <family val="0"/>
        <charset val="1"/>
      </rPr>
      <t xml:space="preserve">+1688 </t>
    </r>
    <r>
      <rPr>
        <sz val="11"/>
        <rFont val="Arial Unicode MS"/>
        <family val="2"/>
      </rPr>
      <t xml:space="preserve">综合采购</t>
    </r>
  </si>
  <si>
    <t xml:space="preserve">二类医疗器械备案</t>
  </si>
  <si>
    <r>
      <rPr>
        <sz val="11"/>
        <rFont val="Arial Unicode MS"/>
        <family val="2"/>
      </rPr>
      <t xml:space="preserve">代办 </t>
    </r>
    <r>
      <rPr>
        <sz val="11"/>
        <rFont val="Arial"/>
        <family val="0"/>
        <charset val="1"/>
      </rPr>
      <t xml:space="preserve">800-1500</t>
    </r>
  </si>
  <si>
    <r>
      <rPr>
        <sz val="11"/>
        <rFont val="Arial Unicode MS"/>
        <family val="2"/>
      </rPr>
      <t xml:space="preserve">管家婆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有赞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旧电脑</t>
    </r>
  </si>
  <si>
    <r>
      <rPr>
        <sz val="11"/>
        <rFont val="Arial Unicode MS"/>
        <family val="2"/>
      </rPr>
      <t xml:space="preserve">美团 </t>
    </r>
    <r>
      <rPr>
        <sz val="11"/>
        <rFont val="Arial"/>
        <family val="0"/>
        <charset val="1"/>
      </rPr>
      <t xml:space="preserve">5k+</t>
    </r>
    <r>
      <rPr>
        <sz val="11"/>
        <rFont val="Arial Unicode MS"/>
        <family val="2"/>
      </rPr>
      <t xml:space="preserve">饿了么 </t>
    </r>
    <r>
      <rPr>
        <sz val="11"/>
        <rFont val="Arial"/>
        <family val="0"/>
        <charset val="1"/>
      </rPr>
      <t xml:space="preserve">3k+</t>
    </r>
    <r>
      <rPr>
        <sz val="11"/>
        <rFont val="Arial Unicode MS"/>
        <family val="2"/>
      </rPr>
      <t xml:space="preserve">京到 </t>
    </r>
    <r>
      <rPr>
        <sz val="11"/>
        <rFont val="Arial"/>
        <family val="0"/>
        <charset val="1"/>
      </rPr>
      <t xml:space="preserve">1k+</t>
    </r>
    <r>
      <rPr>
        <sz val="11"/>
        <rFont val="Arial Unicode MS"/>
        <family val="2"/>
      </rPr>
      <t xml:space="preserve">抖店 </t>
    </r>
    <r>
      <rPr>
        <sz val="11"/>
        <rFont val="Arial"/>
        <family val="0"/>
        <charset val="1"/>
      </rPr>
      <t xml:space="preserve">2k+</t>
    </r>
    <r>
      <rPr>
        <sz val="11"/>
        <rFont val="Arial Unicode MS"/>
        <family val="2"/>
      </rPr>
      <t xml:space="preserve">拼 </t>
    </r>
    <r>
      <rPr>
        <sz val="11"/>
        <rFont val="Arial"/>
        <family val="0"/>
        <charset val="1"/>
      </rPr>
      <t xml:space="preserve">1k</t>
    </r>
  </si>
  <si>
    <r>
      <rPr>
        <sz val="11"/>
        <rFont val="Arial Unicode MS"/>
        <family val="2"/>
      </rPr>
      <t xml:space="preserve">黑色无标识袋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热敏纸</t>
    </r>
  </si>
  <si>
    <r>
      <rPr>
        <sz val="11"/>
        <rFont val="Arial Unicode MS"/>
        <family val="2"/>
      </rPr>
      <t xml:space="preserve">首月美团竞价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抖音内容</t>
    </r>
  </si>
  <si>
    <r>
      <rPr>
        <sz val="11"/>
        <rFont val="Arial Unicode MS"/>
        <family val="2"/>
      </rPr>
      <t xml:space="preserve">应付账期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现金缓冲</t>
    </r>
  </si>
  <si>
    <t xml:space="preserve">投资合计</t>
  </si>
  <si>
    <r>
      <rPr>
        <b val="true"/>
        <sz val="16"/>
        <color rgb="FF1E3A8A"/>
        <rFont val="Arial Unicode MS"/>
        <family val="2"/>
      </rPr>
      <t xml:space="preserve">单仓月度损益滚动表（</t>
    </r>
    <r>
      <rPr>
        <b val="true"/>
        <sz val="16"/>
        <color rgb="FF1E3A8A"/>
        <rFont val="Arial"/>
        <family val="0"/>
        <charset val="1"/>
      </rPr>
      <t xml:space="preserve">12 </t>
    </r>
    <r>
      <rPr>
        <b val="true"/>
        <sz val="16"/>
        <color rgb="FF1E3A8A"/>
        <rFont val="Arial Unicode MS"/>
        <family val="2"/>
      </rPr>
      <t xml:space="preserve">月）</t>
    </r>
  </si>
  <si>
    <t xml:space="preserve">合计</t>
  </si>
  <si>
    <t xml:space="preserve">日均订单数</t>
  </si>
  <si>
    <t xml:space="preserve">月订单数</t>
  </si>
  <si>
    <r>
      <rPr>
        <b val="true"/>
        <sz val="11"/>
        <rFont val="Arial"/>
        <family val="0"/>
        <charset val="1"/>
      </rPr>
      <t xml:space="preserve">GMV</t>
    </r>
    <r>
      <rPr>
        <b val="true"/>
        <sz val="11"/>
        <rFont val="Arial Unicode MS"/>
        <family val="2"/>
      </rPr>
      <t xml:space="preserve">（元）</t>
    </r>
  </si>
  <si>
    <r>
      <rPr>
        <sz val="11"/>
        <rFont val="Arial Unicode MS"/>
        <family val="2"/>
      </rPr>
      <t xml:space="preserve">商品成本（</t>
    </r>
    <r>
      <rPr>
        <sz val="11"/>
        <rFont val="Arial"/>
        <family val="0"/>
        <charset val="1"/>
      </rPr>
      <t xml:space="preserve">GMV × 35%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</si>
  <si>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平台抽佣（</t>
    </r>
    <r>
      <rPr>
        <sz val="11"/>
        <rFont val="Arial"/>
        <family val="0"/>
        <charset val="1"/>
      </rPr>
      <t xml:space="preserve">GMV × 7%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</si>
  <si>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配送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优惠摊销（</t>
    </r>
    <r>
      <rPr>
        <sz val="11"/>
        <rFont val="Arial"/>
        <family val="0"/>
        <charset val="1"/>
      </rPr>
      <t xml:space="preserve">4%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</si>
  <si>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退货损失（</t>
    </r>
    <r>
      <rPr>
        <sz val="11"/>
        <rFont val="Arial"/>
        <family val="0"/>
        <charset val="1"/>
      </rPr>
      <t xml:space="preserve">1.5%</t>
    </r>
    <r>
      <rPr>
        <sz val="11"/>
        <rFont val="Arial Unicode MS"/>
        <family val="2"/>
      </rPr>
      <t xml:space="preserve">）</t>
    </r>
  </si>
  <si>
    <t xml:space="preserve">毛利</t>
  </si>
  <si>
    <t xml:space="preserve">固定成本</t>
  </si>
  <si>
    <t xml:space="preserve">房租</t>
  </si>
  <si>
    <t xml:space="preserve">人工</t>
  </si>
  <si>
    <t xml:space="preserve">私域工具</t>
  </si>
  <si>
    <t xml:space="preserve">合规摊销</t>
  </si>
  <si>
    <t xml:space="preserve">固定成本合计</t>
  </si>
  <si>
    <t xml:space="preserve">月净利润</t>
  </si>
  <si>
    <t xml:space="preserve">净利率</t>
  </si>
  <si>
    <t xml:space="preserve">累计现金流（含投资）</t>
  </si>
  <si>
    <t xml:space="preserve">三年扩张计划与财务汇总</t>
  </si>
  <si>
    <t xml:space="preserve">Year 1</t>
  </si>
  <si>
    <t xml:space="preserve">Year 2</t>
  </si>
  <si>
    <t xml:space="preserve">Year 3</t>
  </si>
  <si>
    <r>
      <rPr>
        <sz val="11"/>
        <rFont val="Arial Unicode MS"/>
        <family val="2"/>
      </rPr>
      <t xml:space="preserve">仓数（路径 </t>
    </r>
    <r>
      <rPr>
        <sz val="11"/>
        <rFont val="Arial"/>
        <family val="0"/>
        <charset val="1"/>
      </rPr>
      <t xml:space="preserve">1</t>
    </r>
    <r>
      <rPr>
        <sz val="11"/>
        <rFont val="Arial Unicode MS"/>
        <family val="2"/>
      </rPr>
      <t xml:space="preserve">）</t>
    </r>
  </si>
  <si>
    <r>
      <rPr>
        <sz val="11"/>
        <rFont val="Arial"/>
        <family val="0"/>
        <charset val="1"/>
      </rPr>
      <t xml:space="preserve">Y1 </t>
    </r>
    <r>
      <rPr>
        <sz val="11"/>
        <rFont val="Arial Unicode MS"/>
        <family val="2"/>
      </rPr>
      <t xml:space="preserve">单仓试跑、</t>
    </r>
    <r>
      <rPr>
        <sz val="11"/>
        <rFont val="Arial"/>
        <family val="0"/>
        <charset val="1"/>
      </rPr>
      <t xml:space="preserve">Y2 </t>
    </r>
    <r>
      <rPr>
        <sz val="11"/>
        <rFont val="Arial Unicode MS"/>
        <family val="2"/>
      </rPr>
      <t xml:space="preserve">拓 </t>
    </r>
    <r>
      <rPr>
        <sz val="11"/>
        <rFont val="Arial"/>
        <family val="0"/>
        <charset val="1"/>
      </rPr>
      <t xml:space="preserve">2</t>
    </r>
    <r>
      <rPr>
        <sz val="11"/>
        <rFont val="Arial Unicode MS"/>
        <family val="2"/>
      </rPr>
      <t xml:space="preserve">、</t>
    </r>
    <r>
      <rPr>
        <sz val="11"/>
        <rFont val="Arial"/>
        <family val="0"/>
        <charset val="1"/>
      </rPr>
      <t xml:space="preserve">Y3 </t>
    </r>
    <r>
      <rPr>
        <sz val="11"/>
        <rFont val="Arial Unicode MS"/>
        <family val="2"/>
      </rPr>
      <t xml:space="preserve">再拓 </t>
    </r>
    <r>
      <rPr>
        <sz val="11"/>
        <rFont val="Arial"/>
        <family val="0"/>
        <charset val="1"/>
      </rPr>
      <t xml:space="preserve">2</t>
    </r>
  </si>
  <si>
    <r>
      <rPr>
        <sz val="11"/>
        <rFont val="Arial Unicode MS"/>
        <family val="2"/>
      </rPr>
      <t xml:space="preserve">月稳态 </t>
    </r>
    <r>
      <rPr>
        <sz val="11"/>
        <rFont val="Arial"/>
        <family val="0"/>
        <charset val="1"/>
      </rPr>
      <t xml:space="preserve">GMV / </t>
    </r>
    <r>
      <rPr>
        <sz val="11"/>
        <rFont val="Arial Unicode MS"/>
        <family val="2"/>
      </rPr>
      <t xml:space="preserve">仓</t>
    </r>
  </si>
  <si>
    <r>
      <rPr>
        <sz val="11"/>
        <rFont val="Arial"/>
        <family val="0"/>
        <charset val="1"/>
      </rPr>
      <t xml:space="preserve">Y2/Y3 </t>
    </r>
    <r>
      <rPr>
        <sz val="11"/>
        <rFont val="Arial Unicode MS"/>
        <family val="2"/>
      </rPr>
      <t xml:space="preserve">单仓提效 </t>
    </r>
    <r>
      <rPr>
        <sz val="11"/>
        <rFont val="Arial"/>
        <family val="0"/>
        <charset val="1"/>
      </rPr>
      <t xml:space="preserve">5/10%</t>
    </r>
  </si>
  <si>
    <r>
      <rPr>
        <sz val="11"/>
        <rFont val="Arial Unicode MS"/>
        <family val="2"/>
      </rPr>
      <t xml:space="preserve">年 </t>
    </r>
    <r>
      <rPr>
        <sz val="11"/>
        <rFont val="Arial"/>
        <family val="0"/>
        <charset val="1"/>
      </rPr>
      <t xml:space="preserve">GMV</t>
    </r>
    <r>
      <rPr>
        <sz val="11"/>
        <rFont val="Arial Unicode MS"/>
        <family val="2"/>
      </rPr>
      <t xml:space="preserve">（路径 </t>
    </r>
    <r>
      <rPr>
        <sz val="11"/>
        <rFont val="Arial"/>
        <family val="0"/>
        <charset val="1"/>
      </rPr>
      <t xml:space="preserve">1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</si>
  <si>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抖音店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小红书直发</t>
    </r>
  </si>
  <si>
    <r>
      <rPr>
        <sz val="11"/>
        <rFont val="Arial"/>
        <family val="0"/>
        <charset val="1"/>
      </rPr>
      <t xml:space="preserve">Y1 </t>
    </r>
    <r>
      <rPr>
        <sz val="11"/>
        <rFont val="Arial Unicode MS"/>
        <family val="2"/>
      </rPr>
      <t xml:space="preserve">蓄力 </t>
    </r>
    <r>
      <rPr>
        <sz val="11"/>
        <rFont val="Arial"/>
        <family val="0"/>
        <charset val="1"/>
      </rPr>
      <t xml:space="preserve">Y2-3 </t>
    </r>
    <r>
      <rPr>
        <sz val="11"/>
        <rFont val="Arial Unicode MS"/>
        <family val="2"/>
      </rPr>
      <t xml:space="preserve">起量（月 </t>
    </r>
    <r>
      <rPr>
        <sz val="11"/>
        <rFont val="Arial"/>
        <family val="0"/>
        <charset val="1"/>
      </rPr>
      <t xml:space="preserve">GMV</t>
    </r>
    <r>
      <rPr>
        <sz val="11"/>
        <rFont val="Arial Unicode MS"/>
        <family val="2"/>
      </rPr>
      <t xml:space="preserve">）</t>
    </r>
  </si>
  <si>
    <r>
      <rPr>
        <sz val="11"/>
        <rFont val="Arial Unicode MS"/>
        <family val="2"/>
      </rPr>
      <t xml:space="preserve">私域月 </t>
    </r>
    <r>
      <rPr>
        <sz val="11"/>
        <rFont val="Arial"/>
        <family val="0"/>
        <charset val="1"/>
      </rPr>
      <t xml:space="preserve">GMV</t>
    </r>
  </si>
  <si>
    <r>
      <rPr>
        <sz val="11"/>
        <rFont val="Arial Unicode MS"/>
        <family val="2"/>
      </rPr>
      <t xml:space="preserve">复购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高客单玩具</t>
    </r>
  </si>
  <si>
    <r>
      <rPr>
        <sz val="11"/>
        <rFont val="Arial"/>
        <family val="0"/>
        <charset val="1"/>
      </rPr>
      <t xml:space="preserve">B2B </t>
    </r>
    <r>
      <rPr>
        <sz val="11"/>
        <rFont val="Arial Unicode MS"/>
        <family val="2"/>
      </rPr>
      <t xml:space="preserve">酒店供货月 </t>
    </r>
    <r>
      <rPr>
        <sz val="11"/>
        <rFont val="Arial"/>
        <family val="0"/>
        <charset val="1"/>
      </rPr>
      <t xml:space="preserve">GMV</t>
    </r>
  </si>
  <si>
    <r>
      <rPr>
        <sz val="11"/>
        <rFont val="Arial"/>
        <family val="0"/>
        <charset val="1"/>
      </rPr>
      <t xml:space="preserve">Y2 </t>
    </r>
    <r>
      <rPr>
        <sz val="11"/>
        <rFont val="Arial Unicode MS"/>
        <family val="2"/>
      </rPr>
      <t xml:space="preserve">试 </t>
    </r>
    <r>
      <rPr>
        <sz val="11"/>
        <rFont val="Arial"/>
        <family val="0"/>
        <charset val="1"/>
      </rPr>
      <t xml:space="preserve">Y3 </t>
    </r>
    <r>
      <rPr>
        <sz val="11"/>
        <rFont val="Arial Unicode MS"/>
        <family val="2"/>
      </rPr>
      <t xml:space="preserve">加速</t>
    </r>
  </si>
  <si>
    <r>
      <rPr>
        <b val="true"/>
        <sz val="11"/>
        <rFont val="Arial Unicode MS"/>
        <family val="2"/>
      </rPr>
      <t xml:space="preserve">年总 </t>
    </r>
    <r>
      <rPr>
        <b val="true"/>
        <sz val="11"/>
        <rFont val="Arial"/>
        <family val="0"/>
        <charset val="1"/>
      </rPr>
      <t xml:space="preserve">GMV</t>
    </r>
  </si>
  <si>
    <t xml:space="preserve">综合净利率</t>
  </si>
  <si>
    <r>
      <rPr>
        <sz val="11"/>
        <rFont val="Arial"/>
        <family val="0"/>
        <charset val="1"/>
      </rPr>
      <t xml:space="preserve">Y1 </t>
    </r>
    <r>
      <rPr>
        <sz val="11"/>
        <rFont val="Arial Unicode MS"/>
        <family val="2"/>
      </rPr>
      <t xml:space="preserve">含爬坡，</t>
    </r>
    <r>
      <rPr>
        <sz val="11"/>
        <rFont val="Arial"/>
        <family val="0"/>
        <charset val="1"/>
      </rPr>
      <t xml:space="preserve">Y2-3 </t>
    </r>
    <r>
      <rPr>
        <sz val="11"/>
        <rFont val="Arial Unicode MS"/>
        <family val="2"/>
      </rPr>
      <t xml:space="preserve">私域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规模</t>
    </r>
  </si>
  <si>
    <t xml:space="preserve">年净利</t>
  </si>
  <si>
    <t xml:space="preserve">累计净利</t>
  </si>
  <si>
    <r>
      <rPr>
        <b val="true"/>
        <sz val="16"/>
        <color rgb="FF1E3A8A"/>
        <rFont val="Arial Unicode MS"/>
        <family val="2"/>
      </rPr>
      <t xml:space="preserve">敏感性 </t>
    </r>
    <r>
      <rPr>
        <b val="true"/>
        <sz val="16"/>
        <color rgb="FF1E3A8A"/>
        <rFont val="Arial"/>
        <family val="0"/>
        <charset val="1"/>
      </rPr>
      <t xml:space="preserve">1</t>
    </r>
    <r>
      <rPr>
        <b val="true"/>
        <sz val="16"/>
        <color rgb="FF1E3A8A"/>
        <rFont val="Arial Unicode MS"/>
        <family val="2"/>
      </rPr>
      <t xml:space="preserve">：日单量 </t>
    </r>
    <r>
      <rPr>
        <b val="true"/>
        <sz val="16"/>
        <color rgb="FF1E3A8A"/>
        <rFont val="Arial"/>
        <family val="0"/>
        <charset val="1"/>
      </rPr>
      <t xml:space="preserve">× </t>
    </r>
    <r>
      <rPr>
        <b val="true"/>
        <sz val="16"/>
        <color rgb="FF1E3A8A"/>
        <rFont val="Arial Unicode MS"/>
        <family val="2"/>
      </rPr>
      <t xml:space="preserve">客单价 → 月净利润（单仓稳态）</t>
    </r>
  </si>
  <si>
    <r>
      <rPr>
        <sz val="11"/>
        <color theme="1"/>
        <rFont val="Arial Unicode MS"/>
        <family val="2"/>
      </rPr>
      <t xml:space="preserve">假设：成本率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Arial Unicode MS"/>
        <family val="2"/>
      </rPr>
      <t xml:space="preserve">抽佣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Arial Unicode MS"/>
        <family val="2"/>
      </rPr>
      <t xml:space="preserve">固定成本均按 </t>
    </r>
    <r>
      <rPr>
        <sz val="11"/>
        <color theme="1"/>
        <rFont val="Calibri"/>
        <family val="2"/>
        <charset val="1"/>
      </rPr>
      <t xml:space="preserve">1_</t>
    </r>
    <r>
      <rPr>
        <sz val="11"/>
        <color theme="1"/>
        <rFont val="Arial Unicode MS"/>
        <family val="2"/>
      </rPr>
      <t xml:space="preserve">关键假设 当前值</t>
    </r>
  </si>
  <si>
    <r>
      <rPr>
        <b val="true"/>
        <sz val="11"/>
        <color rgb="FFFFFFFF"/>
        <rFont val="Arial Unicode MS"/>
        <family val="2"/>
      </rPr>
      <t xml:space="preserve">日单量 ↓ </t>
    </r>
    <r>
      <rPr>
        <b val="true"/>
        <sz val="11"/>
        <color rgb="FFFFFFFF"/>
        <rFont val="Arial"/>
        <family val="0"/>
        <charset val="1"/>
      </rPr>
      <t xml:space="preserve">\ </t>
    </r>
    <r>
      <rPr>
        <b val="true"/>
        <sz val="11"/>
        <color rgb="FFFFFFFF"/>
        <rFont val="Arial Unicode MS"/>
        <family val="2"/>
      </rPr>
      <t xml:space="preserve">客单价 →</t>
    </r>
  </si>
  <si>
    <t xml:space="preserve">¥50</t>
  </si>
  <si>
    <t xml:space="preserve">¥60</t>
  </si>
  <si>
    <t xml:space="preserve">¥70</t>
  </si>
  <si>
    <t xml:space="preserve">¥80</t>
  </si>
  <si>
    <t xml:space="preserve">¥90</t>
  </si>
  <si>
    <t xml:space="preserve">¥100</t>
  </si>
  <si>
    <t xml:space="preserve">¥120</t>
  </si>
  <si>
    <t xml:space="preserve">¥150</t>
  </si>
  <si>
    <r>
      <rPr>
        <b val="true"/>
        <sz val="11"/>
        <color rgb="FFFFFFFF"/>
        <rFont val="Arial"/>
        <family val="0"/>
        <charset val="1"/>
      </rPr>
      <t xml:space="preserve">20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</si>
  <si>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30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</si>
  <si>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40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</si>
  <si>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50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</si>
  <si>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60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</si>
  <si>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80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</si>
  <si>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100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</si>
  <si>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120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</si>
  <si>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1"/>
        <color rgb="FFFFFFFF"/>
        <rFont val="Arial"/>
        <family val="0"/>
        <charset val="1"/>
      </rPr>
      <t xml:space="preserve">150 </t>
    </r>
    <r>
      <rPr>
        <b val="true"/>
        <sz val="11"/>
        <color rgb="FFFFFFFF"/>
        <rFont val="Arial Unicode MS"/>
        <family val="2"/>
      </rPr>
      <t xml:space="preserve">单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Arial Unicode MS"/>
        <family val="2"/>
      </rPr>
      <t xml:space="preserve">日</t>
    </r>
  </si>
  <si>
    <r>
      <rPr>
        <b val="true"/>
        <sz val="16"/>
        <color rgb="FF1E3A8A"/>
        <rFont val="Arial Unicode MS"/>
        <family val="2"/>
      </rPr>
      <t xml:space="preserve">敏感性 </t>
    </r>
    <r>
      <rPr>
        <b val="true"/>
        <sz val="16"/>
        <color rgb="FF1E3A8A"/>
        <rFont val="Arial"/>
        <family val="0"/>
        <charset val="1"/>
      </rPr>
      <t xml:space="preserve">2</t>
    </r>
    <r>
      <rPr>
        <b val="true"/>
        <sz val="16"/>
        <color rgb="FF1E3A8A"/>
        <rFont val="Arial Unicode MS"/>
        <family val="2"/>
      </rPr>
      <t xml:space="preserve">：商品成本率 </t>
    </r>
    <r>
      <rPr>
        <b val="true"/>
        <sz val="16"/>
        <color rgb="FF1E3A8A"/>
        <rFont val="Arial"/>
        <family val="0"/>
        <charset val="1"/>
      </rPr>
      <t xml:space="preserve">× </t>
    </r>
    <r>
      <rPr>
        <b val="true"/>
        <sz val="16"/>
        <color rgb="FF1E3A8A"/>
        <rFont val="Arial Unicode MS"/>
        <family val="2"/>
      </rPr>
      <t xml:space="preserve">平台抽佣率 → 净利率（单仓稳态）</t>
    </r>
  </si>
  <si>
    <r>
      <rPr>
        <sz val="11"/>
        <color theme="1"/>
        <rFont val="Arial Unicode MS"/>
        <family val="2"/>
      </rPr>
      <t xml:space="preserve">假设：日单 </t>
    </r>
    <r>
      <rPr>
        <sz val="11"/>
        <color theme="1"/>
        <rFont val="Calibri"/>
        <family val="2"/>
        <charset val="1"/>
      </rPr>
      <t xml:space="preserve">50</t>
    </r>
    <r>
      <rPr>
        <sz val="11"/>
        <color theme="1"/>
        <rFont val="Arial Unicode MS"/>
        <family val="2"/>
      </rPr>
      <t xml:space="preserve">、客单 </t>
    </r>
    <r>
      <rPr>
        <sz val="11"/>
        <color theme="1"/>
        <rFont val="Calibri"/>
        <family val="2"/>
        <charset val="1"/>
      </rPr>
      <t xml:space="preserve">70</t>
    </r>
    <r>
      <rPr>
        <sz val="11"/>
        <color theme="1"/>
        <rFont val="Arial Unicode MS"/>
        <family val="2"/>
      </rPr>
      <t xml:space="preserve">、固定成本不变</t>
    </r>
  </si>
  <si>
    <r>
      <rPr>
        <b val="true"/>
        <sz val="11"/>
        <color rgb="FFFFFFFF"/>
        <rFont val="Arial Unicode MS"/>
        <family val="2"/>
      </rPr>
      <t xml:space="preserve">成本率 ↓ </t>
    </r>
    <r>
      <rPr>
        <b val="true"/>
        <sz val="11"/>
        <color rgb="FFFFFFFF"/>
        <rFont val="Arial"/>
        <family val="0"/>
        <charset val="1"/>
      </rPr>
      <t xml:space="preserve">\ </t>
    </r>
    <r>
      <rPr>
        <b val="true"/>
        <sz val="11"/>
        <color rgb="FFFFFFFF"/>
        <rFont val="Arial Unicode MS"/>
        <family val="2"/>
      </rPr>
      <t xml:space="preserve">抽佣 →</t>
    </r>
  </si>
  <si>
    <t xml:space="preserve">4%</t>
  </si>
  <si>
    <t xml:space="preserve">5%</t>
  </si>
  <si>
    <t xml:space="preserve">6%</t>
  </si>
  <si>
    <t xml:space="preserve">7%</t>
  </si>
  <si>
    <t xml:space="preserve">8%</t>
  </si>
  <si>
    <t xml:space="preserve">10%</t>
  </si>
  <si>
    <t xml:space="preserve">25%</t>
  </si>
  <si>
    <t xml:space="preserve">30%</t>
  </si>
  <si>
    <t xml:space="preserve">35%</t>
  </si>
  <si>
    <t xml:space="preserve">40%</t>
  </si>
  <si>
    <t xml:space="preserve">45%</t>
  </si>
  <si>
    <t xml:space="preserve">50%</t>
  </si>
  <si>
    <t xml:space="preserve">盈亏平衡分析（月）</t>
  </si>
  <si>
    <r>
      <rPr>
        <sz val="11"/>
        <rFont val="Arial Unicode MS"/>
        <family val="2"/>
      </rPr>
      <t xml:space="preserve">月固定成本（房租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人工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水电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营销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工具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合规）</t>
    </r>
  </si>
  <si>
    <r>
      <rPr>
        <sz val="11"/>
        <rFont val="Arial Unicode MS"/>
        <family val="2"/>
      </rPr>
      <t xml:space="preserve">毛利率（</t>
    </r>
    <r>
      <rPr>
        <sz val="11"/>
        <rFont val="Arial"/>
        <family val="0"/>
        <charset val="1"/>
      </rPr>
      <t xml:space="preserve">1 - </t>
    </r>
    <r>
      <rPr>
        <sz val="11"/>
        <rFont val="Arial Unicode MS"/>
        <family val="2"/>
      </rPr>
      <t xml:space="preserve">成本 </t>
    </r>
    <r>
      <rPr>
        <sz val="11"/>
        <rFont val="Arial"/>
        <family val="0"/>
        <charset val="1"/>
      </rPr>
      <t xml:space="preserve">- </t>
    </r>
    <r>
      <rPr>
        <sz val="11"/>
        <rFont val="Arial Unicode MS"/>
        <family val="2"/>
      </rPr>
      <t xml:space="preserve">抽佣 </t>
    </r>
    <r>
      <rPr>
        <sz val="11"/>
        <rFont val="Arial"/>
        <family val="0"/>
        <charset val="1"/>
      </rPr>
      <t xml:space="preserve">- </t>
    </r>
    <r>
      <rPr>
        <sz val="11"/>
        <rFont val="Arial Unicode MS"/>
        <family val="2"/>
      </rPr>
      <t xml:space="preserve">配送 </t>
    </r>
    <r>
      <rPr>
        <sz val="11"/>
        <rFont val="Arial"/>
        <family val="0"/>
        <charset val="1"/>
      </rPr>
      <t xml:space="preserve">- </t>
    </r>
    <r>
      <rPr>
        <sz val="11"/>
        <rFont val="Arial Unicode MS"/>
        <family val="2"/>
      </rPr>
      <t xml:space="preserve">退货）</t>
    </r>
  </si>
  <si>
    <r>
      <rPr>
        <sz val="11"/>
        <rFont val="Arial Unicode MS"/>
        <family val="2"/>
      </rPr>
      <t xml:space="preserve">月盈亏平衡 </t>
    </r>
    <r>
      <rPr>
        <sz val="11"/>
        <rFont val="Arial"/>
        <family val="0"/>
        <charset val="1"/>
      </rPr>
      <t xml:space="preserve">GMV</t>
    </r>
  </si>
  <si>
    <t xml:space="preserve">月盈亏平衡订单数</t>
  </si>
  <si>
    <t xml:space="preserve">日盈亏平衡订单数</t>
  </si>
  <si>
    <t xml:space="preserve">当前假设日均订单（稳态）</t>
  </si>
  <si>
    <t xml:space="preserve">安全边际（订单数）</t>
  </si>
  <si>
    <t xml:space="preserve">结论：</t>
  </si>
  <si>
    <r>
      <rPr>
        <sz val="11"/>
        <color theme="1"/>
        <rFont val="Arial Unicode MS"/>
        <family val="2"/>
      </rPr>
      <t xml:space="preserve">若稳态日单 ≥ 盈亏平衡日单，项目在 </t>
    </r>
    <r>
      <rPr>
        <sz val="11"/>
        <color theme="1"/>
        <rFont val="Calibri"/>
        <family val="2"/>
        <charset val="1"/>
      </rPr>
      <t xml:space="preserve">30 </t>
    </r>
    <r>
      <rPr>
        <sz val="11"/>
        <color theme="1"/>
        <rFont val="Arial Unicode MS"/>
        <family val="2"/>
      </rPr>
      <t xml:space="preserve">天内月度盈利。</t>
    </r>
  </si>
  <si>
    <r>
      <rPr>
        <sz val="11"/>
        <color theme="1"/>
        <rFont val="Arial Unicode MS"/>
        <family val="2"/>
      </rPr>
      <t xml:space="preserve">建议安全垫：稳态目标 </t>
    </r>
    <r>
      <rPr>
        <sz val="11"/>
        <color theme="1"/>
        <rFont val="Calibri"/>
        <family val="2"/>
        <charset val="1"/>
      </rPr>
      <t xml:space="preserve">= </t>
    </r>
    <r>
      <rPr>
        <sz val="11"/>
        <color theme="1"/>
        <rFont val="Arial Unicode MS"/>
        <family val="2"/>
      </rPr>
      <t xml:space="preserve">盈亏平衡 </t>
    </r>
    <r>
      <rPr>
        <sz val="11"/>
        <color theme="1"/>
        <rFont val="Calibri"/>
        <family val="2"/>
        <charset val="1"/>
      </rPr>
      <t xml:space="preserve">× 1.5 </t>
    </r>
    <r>
      <rPr>
        <sz val="11"/>
        <color theme="1"/>
        <rFont val="Arial Unicode MS"/>
        <family val="2"/>
      </rPr>
      <t xml:space="preserve">起步。</t>
    </r>
  </si>
  <si>
    <r>
      <rPr>
        <b val="true"/>
        <sz val="16"/>
        <color rgb="FF1E3A8A"/>
        <rFont val="Arial"/>
        <family val="0"/>
        <charset val="1"/>
      </rPr>
      <t xml:space="preserve">Year 2 / Year 3 </t>
    </r>
    <r>
      <rPr>
        <b val="true"/>
        <sz val="16"/>
        <color rgb="FF1E3A8A"/>
        <rFont val="Arial Unicode MS"/>
        <family val="2"/>
      </rPr>
      <t xml:space="preserve">多业务线合并损益（月度均值 → 年度）</t>
    </r>
  </si>
  <si>
    <r>
      <rPr>
        <sz val="11"/>
        <color theme="1"/>
        <rFont val="Arial Unicode MS"/>
        <family val="2"/>
      </rPr>
      <t xml:space="preserve">蓝色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输入；黑色</t>
    </r>
    <r>
      <rPr>
        <sz val="11"/>
        <color theme="1"/>
        <rFont val="Calibri"/>
        <family val="2"/>
        <charset val="1"/>
      </rPr>
      <t xml:space="preserve">=</t>
    </r>
    <r>
      <rPr>
        <sz val="11"/>
        <color theme="1"/>
        <rFont val="Arial Unicode MS"/>
        <family val="2"/>
      </rPr>
      <t xml:space="preserve">公式；改输入即可观察各业务线月利与综合净利率</t>
    </r>
  </si>
  <si>
    <t xml:space="preserve">业务线</t>
  </si>
  <si>
    <r>
      <rPr>
        <b val="true"/>
        <sz val="11"/>
        <color rgb="FFFFFFFF"/>
        <rFont val="Arial"/>
        <family val="0"/>
        <charset val="1"/>
      </rPr>
      <t xml:space="preserve">Y2 </t>
    </r>
    <r>
      <rPr>
        <b val="true"/>
        <sz val="11"/>
        <color rgb="FFFFFFFF"/>
        <rFont val="Arial Unicode MS"/>
        <family val="2"/>
      </rPr>
      <t xml:space="preserve">月均 </t>
    </r>
    <r>
      <rPr>
        <b val="true"/>
        <sz val="11"/>
        <color rgb="FFFFFFFF"/>
        <rFont val="Arial"/>
        <family val="0"/>
        <charset val="1"/>
      </rPr>
      <t xml:space="preserve">GMV</t>
    </r>
  </si>
  <si>
    <r>
      <rPr>
        <b val="true"/>
        <sz val="11"/>
        <color rgb="FFFFFFFF"/>
        <rFont val="Arial"/>
        <family val="0"/>
        <charset val="1"/>
      </rPr>
      <t xml:space="preserve">Y2 </t>
    </r>
    <r>
      <rPr>
        <b val="true"/>
        <sz val="11"/>
        <color rgb="FFFFFFFF"/>
        <rFont val="Arial Unicode MS"/>
        <family val="2"/>
      </rPr>
      <t xml:space="preserve">净利率</t>
    </r>
  </si>
  <si>
    <r>
      <rPr>
        <b val="true"/>
        <sz val="11"/>
        <color rgb="FFFFFFFF"/>
        <rFont val="Arial"/>
        <family val="0"/>
        <charset val="1"/>
      </rPr>
      <t xml:space="preserve">Y2 </t>
    </r>
    <r>
      <rPr>
        <b val="true"/>
        <sz val="11"/>
        <color rgb="FFFFFFFF"/>
        <rFont val="Arial Unicode MS"/>
        <family val="2"/>
      </rPr>
      <t xml:space="preserve">月利</t>
    </r>
  </si>
  <si>
    <r>
      <rPr>
        <b val="true"/>
        <sz val="11"/>
        <color rgb="FFFFFFFF"/>
        <rFont val="Arial"/>
        <family val="0"/>
        <charset val="1"/>
      </rPr>
      <t xml:space="preserve">Y2 </t>
    </r>
    <r>
      <rPr>
        <b val="true"/>
        <sz val="11"/>
        <color rgb="FFFFFFFF"/>
        <rFont val="Arial Unicode MS"/>
        <family val="2"/>
      </rPr>
      <t xml:space="preserve">年利</t>
    </r>
  </si>
  <si>
    <r>
      <rPr>
        <b val="true"/>
        <sz val="11"/>
        <color rgb="FFFFFFFF"/>
        <rFont val="Arial"/>
        <family val="0"/>
        <charset val="1"/>
      </rPr>
      <t xml:space="preserve">Y3 </t>
    </r>
    <r>
      <rPr>
        <b val="true"/>
        <sz val="11"/>
        <color rgb="FFFFFFFF"/>
        <rFont val="Arial Unicode MS"/>
        <family val="2"/>
      </rPr>
      <t xml:space="preserve">月均 </t>
    </r>
    <r>
      <rPr>
        <b val="true"/>
        <sz val="11"/>
        <color rgb="FFFFFFFF"/>
        <rFont val="Arial"/>
        <family val="0"/>
        <charset val="1"/>
      </rPr>
      <t xml:space="preserve">GMV</t>
    </r>
  </si>
  <si>
    <r>
      <rPr>
        <b val="true"/>
        <sz val="11"/>
        <color rgb="FFFFFFFF"/>
        <rFont val="Arial"/>
        <family val="0"/>
        <charset val="1"/>
      </rPr>
      <t xml:space="preserve">Y3 </t>
    </r>
    <r>
      <rPr>
        <b val="true"/>
        <sz val="11"/>
        <color rgb="FFFFFFFF"/>
        <rFont val="Arial Unicode MS"/>
        <family val="2"/>
      </rPr>
      <t xml:space="preserve">净利率</t>
    </r>
  </si>
  <si>
    <r>
      <rPr>
        <b val="true"/>
        <sz val="11"/>
        <color rgb="FFFFFFFF"/>
        <rFont val="Arial"/>
        <family val="0"/>
        <charset val="1"/>
      </rPr>
      <t xml:space="preserve">Y3 </t>
    </r>
    <r>
      <rPr>
        <b val="true"/>
        <sz val="11"/>
        <color rgb="FFFFFFFF"/>
        <rFont val="Arial Unicode MS"/>
        <family val="2"/>
      </rPr>
      <t xml:space="preserve">月利</t>
    </r>
  </si>
  <si>
    <r>
      <rPr>
        <b val="true"/>
        <sz val="11"/>
        <color rgb="FFFFFFFF"/>
        <rFont val="Arial"/>
        <family val="0"/>
        <charset val="1"/>
      </rPr>
      <t xml:space="preserve">Y3 </t>
    </r>
    <r>
      <rPr>
        <b val="true"/>
        <sz val="11"/>
        <color rgb="FFFFFFFF"/>
        <rFont val="Arial Unicode MS"/>
        <family val="2"/>
      </rPr>
      <t xml:space="preserve">年利</t>
    </r>
  </si>
  <si>
    <r>
      <rPr>
        <sz val="11"/>
        <rFont val="Arial Unicode MS"/>
        <family val="2"/>
      </rPr>
      <t xml:space="preserve">闪电仓 </t>
    </r>
    <r>
      <rPr>
        <sz val="11"/>
        <rFont val="Arial"/>
        <family val="0"/>
        <charset val="1"/>
      </rPr>
      <t xml:space="preserve">#1</t>
    </r>
    <r>
      <rPr>
        <sz val="11"/>
        <rFont val="Arial Unicode MS"/>
        <family val="2"/>
      </rPr>
      <t xml:space="preserve">（成熟）</t>
    </r>
  </si>
  <si>
    <r>
      <rPr>
        <sz val="11"/>
        <rFont val="Arial Unicode MS"/>
        <family val="2"/>
      </rPr>
      <t xml:space="preserve">闪电仓 </t>
    </r>
    <r>
      <rPr>
        <sz val="11"/>
        <rFont val="Arial"/>
        <family val="0"/>
        <charset val="1"/>
      </rPr>
      <t xml:space="preserve">#2</t>
    </r>
    <r>
      <rPr>
        <sz val="11"/>
        <rFont val="Arial Unicode MS"/>
        <family val="2"/>
      </rPr>
      <t xml:space="preserve">（成熟）</t>
    </r>
  </si>
  <si>
    <r>
      <rPr>
        <sz val="11"/>
        <rFont val="Arial Unicode MS"/>
        <family val="2"/>
      </rPr>
      <t xml:space="preserve">闪电仓 </t>
    </r>
    <r>
      <rPr>
        <sz val="11"/>
        <rFont val="Arial"/>
        <family val="0"/>
        <charset val="1"/>
      </rPr>
      <t xml:space="preserve">#3</t>
    </r>
    <r>
      <rPr>
        <sz val="11"/>
        <rFont val="Arial Unicode MS"/>
        <family val="2"/>
      </rPr>
      <t xml:space="preserve">（爬坡）</t>
    </r>
  </si>
  <si>
    <r>
      <rPr>
        <sz val="11"/>
        <rFont val="Arial Unicode MS"/>
        <family val="2"/>
      </rPr>
      <t xml:space="preserve">闪电仓 </t>
    </r>
    <r>
      <rPr>
        <sz val="11"/>
        <rFont val="Arial"/>
        <family val="0"/>
        <charset val="1"/>
      </rPr>
      <t xml:space="preserve">#4</t>
    </r>
    <r>
      <rPr>
        <sz val="11"/>
        <rFont val="Arial Unicode MS"/>
        <family val="2"/>
      </rPr>
      <t xml:space="preserve">（新增）</t>
    </r>
  </si>
  <si>
    <r>
      <rPr>
        <sz val="11"/>
        <rFont val="Arial Unicode MS"/>
        <family val="2"/>
      </rPr>
      <t xml:space="preserve">闪电仓 </t>
    </r>
    <r>
      <rPr>
        <sz val="11"/>
        <rFont val="Arial"/>
        <family val="0"/>
        <charset val="1"/>
      </rPr>
      <t xml:space="preserve">#5</t>
    </r>
    <r>
      <rPr>
        <sz val="11"/>
        <rFont val="Arial Unicode MS"/>
        <family val="2"/>
      </rPr>
      <t xml:space="preserve">（新增）</t>
    </r>
  </si>
  <si>
    <r>
      <rPr>
        <sz val="11"/>
        <rFont val="Arial Unicode MS"/>
        <family val="2"/>
      </rPr>
      <t xml:space="preserve">抖音店铺 </t>
    </r>
    <r>
      <rPr>
        <sz val="11"/>
        <rFont val="Arial"/>
        <family val="0"/>
        <charset val="1"/>
      </rPr>
      <t xml:space="preserve">+ </t>
    </r>
    <r>
      <rPr>
        <sz val="11"/>
        <rFont val="Arial Unicode MS"/>
        <family val="2"/>
      </rPr>
      <t xml:space="preserve">直播</t>
    </r>
  </si>
  <si>
    <r>
      <rPr>
        <sz val="11"/>
        <rFont val="Arial Unicode MS"/>
        <family val="2"/>
      </rPr>
      <t xml:space="preserve">私域（小程序</t>
    </r>
    <r>
      <rPr>
        <sz val="11"/>
        <rFont val="Arial"/>
        <family val="0"/>
        <charset val="1"/>
      </rPr>
      <t xml:space="preserve">+</t>
    </r>
    <r>
      <rPr>
        <sz val="11"/>
        <rFont val="Arial Unicode MS"/>
        <family val="2"/>
      </rPr>
      <t xml:space="preserve">企微）</t>
    </r>
  </si>
  <si>
    <r>
      <rPr>
        <sz val="11"/>
        <rFont val="Arial"/>
        <family val="0"/>
        <charset val="1"/>
      </rPr>
      <t xml:space="preserve">B2B </t>
    </r>
    <r>
      <rPr>
        <sz val="11"/>
        <rFont val="Arial Unicode MS"/>
        <family val="2"/>
      </rPr>
      <t xml:space="preserve">酒店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民宿供货</t>
    </r>
  </si>
  <si>
    <t xml:space="preserve">无人售货柜（探索）</t>
  </si>
  <si>
    <t xml:space="preserve">公司级摊销（月）</t>
  </si>
  <si>
    <r>
      <rPr>
        <sz val="11"/>
        <rFont val="Arial Unicode MS"/>
        <family val="2"/>
      </rPr>
      <t xml:space="preserve">总部办公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财务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法务</t>
    </r>
  </si>
  <si>
    <r>
      <rPr>
        <sz val="11"/>
        <rFont val="Arial Unicode MS"/>
        <family val="2"/>
      </rPr>
      <t xml:space="preserve">市场总监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内容主管</t>
    </r>
  </si>
  <si>
    <t xml:space="preserve">品牌广告投流（年度均摊）</t>
  </si>
  <si>
    <r>
      <rPr>
        <sz val="11"/>
        <rFont val="Arial"/>
        <family val="0"/>
        <charset val="1"/>
      </rPr>
      <t xml:space="preserve">IT / </t>
    </r>
    <r>
      <rPr>
        <sz val="11"/>
        <rFont val="Arial Unicode MS"/>
        <family val="2"/>
      </rPr>
      <t xml:space="preserve">数据 </t>
    </r>
    <r>
      <rPr>
        <sz val="11"/>
        <rFont val="Arial"/>
        <family val="0"/>
        <charset val="1"/>
      </rPr>
      <t xml:space="preserve">/ SCRM</t>
    </r>
  </si>
  <si>
    <r>
      <rPr>
        <sz val="11"/>
        <rFont val="Arial Unicode MS"/>
        <family val="2"/>
      </rPr>
      <t xml:space="preserve">律师 </t>
    </r>
    <r>
      <rPr>
        <sz val="11"/>
        <rFont val="Arial"/>
        <family val="0"/>
        <charset val="1"/>
      </rPr>
      <t xml:space="preserve">/ </t>
    </r>
    <r>
      <rPr>
        <sz val="11"/>
        <rFont val="Arial Unicode MS"/>
        <family val="2"/>
      </rPr>
      <t xml:space="preserve">合规外包</t>
    </r>
  </si>
  <si>
    <r>
      <rPr>
        <b val="true"/>
        <sz val="11"/>
        <rFont val="Arial Unicode MS"/>
        <family val="2"/>
      </rPr>
      <t xml:space="preserve">公司级合计</t>
    </r>
    <r>
      <rPr>
        <b val="true"/>
        <sz val="11"/>
        <rFont val="Arial"/>
        <family val="0"/>
        <charset val="1"/>
      </rPr>
      <t xml:space="preserve">/</t>
    </r>
    <r>
      <rPr>
        <b val="true"/>
        <sz val="11"/>
        <rFont val="Arial Unicode MS"/>
        <family val="2"/>
      </rPr>
      <t xml:space="preserve">月</t>
    </r>
  </si>
  <si>
    <t xml:space="preserve">公司净利（月）</t>
  </si>
  <si>
    <t xml:space="preserve">公司净利（年）</t>
  </si>
  <si>
    <t xml:space="preserve">公司综合净利率</t>
  </si>
  <si>
    <t xml:space="preserve">员工数（含兼职折合）</t>
  </si>
  <si>
    <r>
      <rPr>
        <sz val="11"/>
        <rFont val="Arial Unicode MS"/>
        <family val="2"/>
      </rPr>
      <t xml:space="preserve">人效（年净利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人）</t>
    </r>
  </si>
  <si>
    <r>
      <rPr>
        <b val="true"/>
        <sz val="16"/>
        <color rgb="FF1E3A8A"/>
        <rFont val="Arial Unicode MS"/>
        <family val="2"/>
      </rPr>
      <t xml:space="preserve">业务线 </t>
    </r>
    <r>
      <rPr>
        <b val="true"/>
        <sz val="16"/>
        <color rgb="FF1E3A8A"/>
        <rFont val="Arial"/>
        <family val="0"/>
        <charset val="1"/>
      </rPr>
      <t xml:space="preserve">GMV </t>
    </r>
    <r>
      <rPr>
        <b val="true"/>
        <sz val="16"/>
        <color rgb="FF1E3A8A"/>
        <rFont val="Arial Unicode MS"/>
        <family val="2"/>
      </rPr>
      <t xml:space="preserve">占比 ↔ 公司净利率（</t>
    </r>
    <r>
      <rPr>
        <b val="true"/>
        <sz val="16"/>
        <color rgb="FF1E3A8A"/>
        <rFont val="Arial"/>
        <family val="0"/>
        <charset val="1"/>
      </rPr>
      <t xml:space="preserve">Year 3</t>
    </r>
    <r>
      <rPr>
        <b val="true"/>
        <sz val="16"/>
        <color rgb="FF1E3A8A"/>
        <rFont val="Arial Unicode MS"/>
        <family val="2"/>
      </rPr>
      <t xml:space="preserve">）</t>
    </r>
  </si>
  <si>
    <r>
      <rPr>
        <sz val="11"/>
        <color theme="1"/>
        <rFont val="Arial Unicode MS"/>
        <family val="2"/>
      </rPr>
      <t xml:space="preserve">若加大私域</t>
    </r>
    <r>
      <rPr>
        <sz val="11"/>
        <color theme="1"/>
        <rFont val="Calibri"/>
        <family val="2"/>
        <charset val="1"/>
      </rPr>
      <t xml:space="preserve">/B2B </t>
    </r>
    <r>
      <rPr>
        <sz val="11"/>
        <color theme="1"/>
        <rFont val="Arial Unicode MS"/>
        <family val="2"/>
      </rPr>
      <t xml:space="preserve">占比，净利率显著上升；闪电仓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Arial Unicode MS"/>
        <family val="2"/>
      </rPr>
      <t xml:space="preserve">抖音规模大但毛利低</t>
    </r>
  </si>
  <si>
    <r>
      <rPr>
        <b val="true"/>
        <sz val="11"/>
        <color rgb="FFFFFFFF"/>
        <rFont val="Arial"/>
        <family val="0"/>
        <charset val="1"/>
      </rPr>
      <t xml:space="preserve">Y3 GMV </t>
    </r>
    <r>
      <rPr>
        <b val="true"/>
        <sz val="11"/>
        <color rgb="FFFFFFFF"/>
        <rFont val="Arial Unicode MS"/>
        <family val="2"/>
      </rPr>
      <t xml:space="preserve">占比</t>
    </r>
  </si>
  <si>
    <r>
      <rPr>
        <b val="true"/>
        <sz val="11"/>
        <color rgb="FFFFFFFF"/>
        <rFont val="Arial"/>
        <family val="0"/>
        <charset val="1"/>
      </rPr>
      <t xml:space="preserve">Y3 </t>
    </r>
    <r>
      <rPr>
        <b val="true"/>
        <sz val="11"/>
        <color rgb="FFFFFFFF"/>
        <rFont val="Arial Unicode MS"/>
        <family val="2"/>
      </rPr>
      <t xml:space="preserve">利润占比</t>
    </r>
  </si>
  <si>
    <t xml:space="preserve">战略含义</t>
  </si>
  <si>
    <r>
      <rPr>
        <sz val="11"/>
        <rFont val="Arial Unicode MS"/>
        <family val="2"/>
      </rPr>
      <t xml:space="preserve">• 私域与 </t>
    </r>
    <r>
      <rPr>
        <sz val="11"/>
        <rFont val="Arial"/>
        <family val="0"/>
        <charset val="1"/>
      </rPr>
      <t xml:space="preserve">B2B </t>
    </r>
    <r>
      <rPr>
        <sz val="11"/>
        <rFont val="Arial Unicode MS"/>
        <family val="2"/>
      </rPr>
      <t xml:space="preserve">是利润核心：合计利润占比远超 </t>
    </r>
    <r>
      <rPr>
        <sz val="11"/>
        <rFont val="Arial"/>
        <family val="0"/>
        <charset val="1"/>
      </rPr>
      <t xml:space="preserve">GMV </t>
    </r>
    <r>
      <rPr>
        <sz val="11"/>
        <rFont val="Arial Unicode MS"/>
        <family val="2"/>
      </rPr>
      <t xml:space="preserve">占比</t>
    </r>
  </si>
  <si>
    <t xml:space="preserve">• 闪电仓提供基础流量，但毛利受平台抽佣压制</t>
  </si>
  <si>
    <r>
      <rPr>
        <sz val="11"/>
        <rFont val="Arial Unicode MS"/>
        <family val="2"/>
      </rPr>
      <t xml:space="preserve">• 抖音直播规模潜力大但需控制达人</t>
    </r>
    <r>
      <rPr>
        <sz val="11"/>
        <rFont val="Arial"/>
        <family val="0"/>
        <charset val="1"/>
      </rPr>
      <t xml:space="preserve">/</t>
    </r>
    <r>
      <rPr>
        <sz val="11"/>
        <rFont val="Arial Unicode MS"/>
        <family val="2"/>
      </rPr>
      <t xml:space="preserve">主播成本</t>
    </r>
  </si>
  <si>
    <r>
      <rPr>
        <sz val="11"/>
        <rFont val="Arial"/>
        <family val="0"/>
        <charset val="1"/>
      </rPr>
      <t xml:space="preserve">• Year 3 </t>
    </r>
    <r>
      <rPr>
        <sz val="11"/>
        <rFont val="Arial Unicode MS"/>
        <family val="2"/>
      </rPr>
      <t xml:space="preserve">战略重点：把 </t>
    </r>
    <r>
      <rPr>
        <sz val="11"/>
        <rFont val="Arial"/>
        <family val="0"/>
        <charset val="1"/>
      </rPr>
      <t xml:space="preserve">50% </t>
    </r>
    <r>
      <rPr>
        <sz val="11"/>
        <rFont val="Arial Unicode MS"/>
        <family val="2"/>
      </rPr>
      <t xml:space="preserve">公域流量沉淀到私域 → 净利率从 </t>
    </r>
    <r>
      <rPr>
        <sz val="11"/>
        <rFont val="Arial"/>
        <family val="0"/>
        <charset val="1"/>
      </rPr>
      <t xml:space="preserve">28% → 35%+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</si>
</sst>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\(#,##0\);\-"/>
    <numFmt numFmtId="166" formatCode="0.0%;\(0.0%\);\-"/>
    <numFmt numFmtId="167" formatCode="0.00"/>
    <numFmt numFmtId="168" formatCode="0.0"/>
  </numFmts>
  <fonts count="23">
    <font>
      <sz val="11"/>
      <color theme="1"/>
      <name val="Arial Unicode M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8A"/>
      <name val="Arial Unicode MS"/>
      <family val="2"/>
    </font>
    <font>
      <b val="true"/>
      <sz val="16"/>
      <color rgb="FF1E3A8A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2"/>
      <name val="Arial Unicode MS"/>
      <family val="2"/>
    </font>
    <font>
      <b val="true"/>
      <sz val="11"/>
      <name val="Arial"/>
      <family val="0"/>
      <charset val="1"/>
    </font>
    <font>
      <b val="true"/>
      <sz val="11"/>
      <name val="Arial Unicode MS"/>
      <family val="2"/>
    </font>
    <font>
      <sz val="11"/>
      <color theme="1"/>
      <name val="Calibri"/>
      <family val="2"/>
      <charset val="1"/>
    </font>
    <font>
      <b val="true"/>
      <sz val="11"/>
      <name val="Cambria"/>
      <family val="0"/>
      <charset val="1"/>
    </font>
    <font>
      <b val="true"/>
      <sz val="11"/>
      <color rgb="FFFFFFFF"/>
      <name val="Arial Unicode MS"/>
      <family val="2"/>
    </font>
    <font>
      <b val="true"/>
      <sz val="11"/>
      <color rgb="FFFFFFFF"/>
      <name val="Arial"/>
      <family val="0"/>
      <charset val="1"/>
    </font>
    <font>
      <b val="true"/>
      <sz val="12"/>
      <color rgb="FF1E40AF"/>
      <name val="Arial Unicode MS"/>
      <family val="2"/>
    </font>
    <font>
      <sz val="11"/>
      <name val="Arial Unicode MS"/>
      <family val="2"/>
    </font>
    <font>
      <b val="true"/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1E40A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8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E40AF"/>
        <bgColor rgb="FF1E3A8A"/>
      </patternFill>
    </fill>
    <fill>
      <patternFill patternType="solid">
        <fgColor rgb="FFDBEAFE"/>
        <bgColor rgb="FFCCFFFF"/>
      </patternFill>
    </fill>
    <fill>
      <patternFill patternType="solid">
        <fgColor rgb="FFFFF59D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2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9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1E40AF"/>
      <rgbColor rgb="FF339966"/>
      <rgbColor rgb="FF003300"/>
      <rgbColor rgb="FF333300"/>
      <rgbColor rgb="FF993300"/>
      <rgbColor rgb="FF993366"/>
      <rgbColor rgb="FF1E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81.88"/>
    <col collapsed="false" customWidth="true" hidden="false" outlineLevel="0" max="3" min="3" style="0" width="72.79"/>
  </cols>
  <sheetData>
    <row r="2" customFormat="false" ht="22.35" hidden="false" customHeight="false" outlineLevel="0" collapsed="false">
      <c r="B2" s="1" t="s">
        <v>0</v>
      </c>
    </row>
    <row r="4" customFormat="false" ht="17.15" hidden="false" customHeight="false" outlineLevel="0" collapsed="false">
      <c r="B4" s="2" t="s">
        <v>1</v>
      </c>
    </row>
    <row r="5" customFormat="false" ht="16.4" hidden="false" customHeight="false" outlineLevel="0" collapsed="false">
      <c r="B5" s="3" t="s">
        <v>2</v>
      </c>
      <c r="C5" s="0" t="s">
        <v>3</v>
      </c>
    </row>
    <row r="6" customFormat="false" ht="16.4" hidden="false" customHeight="false" outlineLevel="0" collapsed="false">
      <c r="B6" s="3" t="s">
        <v>4</v>
      </c>
      <c r="C6" s="0" t="s">
        <v>5</v>
      </c>
    </row>
    <row r="7" customFormat="false" ht="16.4" hidden="false" customHeight="false" outlineLevel="0" collapsed="false">
      <c r="B7" s="3" t="s">
        <v>6</v>
      </c>
      <c r="C7" s="4" t="s">
        <v>7</v>
      </c>
    </row>
    <row r="8" customFormat="false" ht="16.4" hidden="false" customHeight="false" outlineLevel="0" collapsed="false">
      <c r="B8" s="3" t="s">
        <v>8</v>
      </c>
      <c r="C8" s="4" t="s">
        <v>9</v>
      </c>
    </row>
    <row r="9" customFormat="false" ht="16.4" hidden="false" customHeight="false" outlineLevel="0" collapsed="false">
      <c r="B9" s="3" t="s">
        <v>10</v>
      </c>
      <c r="C9" s="4" t="s">
        <v>11</v>
      </c>
    </row>
    <row r="10" customFormat="false" ht="16.4" hidden="false" customHeight="false" outlineLevel="0" collapsed="false">
      <c r="B10" s="3" t="s">
        <v>12</v>
      </c>
      <c r="C10" s="4" t="s">
        <v>13</v>
      </c>
    </row>
    <row r="11" customFormat="false" ht="16.4" hidden="false" customHeight="false" outlineLevel="0" collapsed="false">
      <c r="B11" s="3" t="s">
        <v>14</v>
      </c>
      <c r="C11" s="0" t="s">
        <v>15</v>
      </c>
    </row>
    <row r="12" customFormat="false" ht="16.4" hidden="false" customHeight="false" outlineLevel="0" collapsed="false">
      <c r="B12" s="3" t="s">
        <v>16</v>
      </c>
      <c r="C12" s="4" t="s">
        <v>17</v>
      </c>
    </row>
    <row r="13" customFormat="false" ht="16.4" hidden="false" customHeight="false" outlineLevel="0" collapsed="false">
      <c r="B13" s="3" t="s">
        <v>18</v>
      </c>
      <c r="C13" s="0" t="s">
        <v>19</v>
      </c>
    </row>
    <row r="14" customFormat="false" ht="16.4" hidden="false" customHeight="false" outlineLevel="0" collapsed="false">
      <c r="B14" s="5" t="s">
        <v>20</v>
      </c>
      <c r="C14" s="0" t="s">
        <v>21</v>
      </c>
    </row>
    <row r="15" customFormat="false" ht="16.4" hidden="false" customHeight="false" outlineLevel="0" collapsed="false">
      <c r="B15" s="4" t="s">
        <v>22</v>
      </c>
    </row>
    <row r="16" customFormat="false" ht="16.4" hidden="false" customHeight="false" outlineLevel="0" collapsed="false">
      <c r="B16" s="4" t="s">
        <v>23</v>
      </c>
    </row>
    <row r="17" customFormat="false" ht="16.4" hidden="false" customHeight="false" outlineLevel="0" collapsed="false">
      <c r="B17" s="4" t="s">
        <v>24</v>
      </c>
    </row>
    <row r="18" customFormat="false" ht="16.4" hidden="false" customHeight="false" outlineLevel="0" collapsed="false">
      <c r="B18" s="4" t="s">
        <v>25</v>
      </c>
    </row>
    <row r="19" customFormat="false" ht="16.4" hidden="false" customHeight="false" outlineLevel="0" collapsed="false">
      <c r="B19" s="4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0.01"/>
    <col collapsed="false" customWidth="true" hidden="false" outlineLevel="0" max="11" min="3" style="0" width="11.83"/>
  </cols>
  <sheetData>
    <row r="2" customFormat="false" ht="22.35" hidden="false" customHeight="false" outlineLevel="0" collapsed="false">
      <c r="B2" s="1" t="s">
        <v>220</v>
      </c>
    </row>
    <row r="3" customFormat="false" ht="16.4" hidden="false" customHeight="false" outlineLevel="0" collapsed="false">
      <c r="B3" s="0" t="s">
        <v>221</v>
      </c>
    </row>
    <row r="5" customFormat="false" ht="16.4" hidden="false" customHeight="false" outlineLevel="0" collapsed="false">
      <c r="B5" s="6" t="s">
        <v>190</v>
      </c>
      <c r="C5" s="15" t="s">
        <v>222</v>
      </c>
      <c r="D5" s="15" t="s">
        <v>196</v>
      </c>
      <c r="E5" s="15" t="s">
        <v>223</v>
      </c>
    </row>
    <row r="6" customFormat="false" ht="16.4" hidden="false" customHeight="false" outlineLevel="0" collapsed="false">
      <c r="B6" s="8" t="s">
        <v>199</v>
      </c>
      <c r="C6" s="28" t="n">
        <f aca="false">'8_Y2Y3多业务线损益'!G6/'8_Y2Y3多业务线损益'!G15</f>
        <v>0.123404255319149</v>
      </c>
      <c r="D6" s="28" t="n">
        <f aca="false">'8_Y2Y3多业务线损益'!H6</f>
        <v>0.36</v>
      </c>
      <c r="E6" s="28" t="n">
        <f aca="false">'8_Y2Y3多业务线损益'!I6/'8_Y2Y3多业务线损益'!I15</f>
        <v>0.13036963036963</v>
      </c>
    </row>
    <row r="7" customFormat="false" ht="16.4" hidden="false" customHeight="false" outlineLevel="0" collapsed="false">
      <c r="B7" s="8" t="s">
        <v>200</v>
      </c>
      <c r="C7" s="28" t="n">
        <f aca="false">'8_Y2Y3多业务线损益'!G7/'8_Y2Y3多业务线损益'!G15</f>
        <v>0.11063829787234</v>
      </c>
      <c r="D7" s="28" t="n">
        <f aca="false">'8_Y2Y3多业务线损益'!H7</f>
        <v>0.34</v>
      </c>
      <c r="E7" s="28" t="n">
        <f aca="false">'8_Y2Y3多业务线损益'!I7/'8_Y2Y3多业务线损益'!I15</f>
        <v>0.11038961038961</v>
      </c>
    </row>
    <row r="8" customFormat="false" ht="16.4" hidden="false" customHeight="false" outlineLevel="0" collapsed="false">
      <c r="B8" s="8" t="s">
        <v>201</v>
      </c>
      <c r="C8" s="28" t="n">
        <f aca="false">'8_Y2Y3多业务线损益'!G8/'8_Y2Y3多业务线损益'!G15</f>
        <v>0.102127659574468</v>
      </c>
      <c r="D8" s="28" t="n">
        <f aca="false">'8_Y2Y3多业务线损益'!H8</f>
        <v>0.3</v>
      </c>
      <c r="E8" s="28" t="n">
        <f aca="false">'8_Y2Y3多业务线损益'!I8/'8_Y2Y3多业务线损益'!I15</f>
        <v>0.0899100899100899</v>
      </c>
    </row>
    <row r="9" customFormat="false" ht="16.4" hidden="false" customHeight="false" outlineLevel="0" collapsed="false">
      <c r="B9" s="8" t="s">
        <v>202</v>
      </c>
      <c r="C9" s="28" t="n">
        <f aca="false">'8_Y2Y3多业务线损益'!G9/'8_Y2Y3多业务线损益'!G15</f>
        <v>0.051063829787234</v>
      </c>
      <c r="D9" s="28" t="n">
        <f aca="false">'8_Y2Y3多业务线损益'!H9</f>
        <v>0.1</v>
      </c>
      <c r="E9" s="28" t="n">
        <f aca="false">'8_Y2Y3多业务线损益'!I9/'8_Y2Y3多业务线损益'!I15</f>
        <v>0.014985014985015</v>
      </c>
    </row>
    <row r="10" customFormat="false" ht="16.4" hidden="false" customHeight="false" outlineLevel="0" collapsed="false">
      <c r="B10" s="8" t="s">
        <v>203</v>
      </c>
      <c r="C10" s="28" t="n">
        <f aca="false">'8_Y2Y3多业务线损益'!G10/'8_Y2Y3多业务线损益'!G15</f>
        <v>0.0340425531914894</v>
      </c>
      <c r="D10" s="28" t="n">
        <f aca="false">'8_Y2Y3多业务线损益'!H10</f>
        <v>0.05</v>
      </c>
      <c r="E10" s="28" t="n">
        <f aca="false">'8_Y2Y3多业务线损益'!I10/'8_Y2Y3多业务线损益'!I15</f>
        <v>0.004995004995005</v>
      </c>
    </row>
    <row r="11" customFormat="false" ht="16.4" hidden="false" customHeight="false" outlineLevel="0" collapsed="false">
      <c r="B11" s="8" t="s">
        <v>204</v>
      </c>
      <c r="C11" s="28" t="n">
        <f aca="false">'8_Y2Y3多业务线损益'!G11/'8_Y2Y3多业务线损益'!G15</f>
        <v>0.187234042553191</v>
      </c>
      <c r="D11" s="28" t="n">
        <f aca="false">'8_Y2Y3多业务线损益'!H11</f>
        <v>0.28</v>
      </c>
      <c r="E11" s="28" t="n">
        <f aca="false">'8_Y2Y3多业务线损益'!I11/'8_Y2Y3多业务线损益'!I15</f>
        <v>0.153846153846154</v>
      </c>
    </row>
    <row r="12" customFormat="false" ht="16.4" hidden="false" customHeight="false" outlineLevel="0" collapsed="false">
      <c r="B12" s="8" t="s">
        <v>205</v>
      </c>
      <c r="C12" s="28" t="n">
        <f aca="false">'8_Y2Y3多业务线损益'!G12/'8_Y2Y3多业务线损益'!G15</f>
        <v>0.272340425531915</v>
      </c>
      <c r="D12" s="28" t="n">
        <f aca="false">'8_Y2Y3多业务线损益'!H12</f>
        <v>0.5</v>
      </c>
      <c r="E12" s="28" t="n">
        <f aca="false">'8_Y2Y3多业务线损益'!I12/'8_Y2Y3多业务线损益'!I15</f>
        <v>0.3996003996004</v>
      </c>
    </row>
    <row r="13" customFormat="false" ht="16.4" hidden="false" customHeight="false" outlineLevel="0" collapsed="false">
      <c r="B13" s="17" t="s">
        <v>206</v>
      </c>
      <c r="C13" s="28" t="n">
        <f aca="false">'8_Y2Y3多业务线损益'!G13/'8_Y2Y3多业务线损益'!G15</f>
        <v>0.0936170212765957</v>
      </c>
      <c r="D13" s="28" t="n">
        <f aca="false">'8_Y2Y3多业务线损益'!H13</f>
        <v>0.3</v>
      </c>
      <c r="E13" s="28" t="n">
        <f aca="false">'8_Y2Y3多业务线损益'!I13/'8_Y2Y3多业务线损益'!I15</f>
        <v>0.0824175824175824</v>
      </c>
    </row>
    <row r="14" customFormat="false" ht="15" hidden="false" customHeight="false" outlineLevel="0" collapsed="false">
      <c r="B14" s="8" t="s">
        <v>207</v>
      </c>
      <c r="C14" s="28" t="n">
        <f aca="false">'8_Y2Y3多业务线损益'!G14/'8_Y2Y3多业务线损益'!G15</f>
        <v>0.025531914893617</v>
      </c>
      <c r="D14" s="28" t="n">
        <f aca="false">'8_Y2Y3多业务线损益'!H14</f>
        <v>0.18</v>
      </c>
      <c r="E14" s="28" t="n">
        <f aca="false">'8_Y2Y3多业务线损益'!I14/'8_Y2Y3多业务线损益'!I15</f>
        <v>0.0134865134865135</v>
      </c>
    </row>
    <row r="17" customFormat="false" ht="15" hidden="false" customHeight="false" outlineLevel="0" collapsed="false">
      <c r="B17" s="33" t="s">
        <v>224</v>
      </c>
    </row>
    <row r="18" customFormat="false" ht="16.4" hidden="false" customHeight="false" outlineLevel="0" collapsed="false">
      <c r="B18" s="8" t="s">
        <v>225</v>
      </c>
    </row>
    <row r="19" customFormat="false" ht="15" hidden="false" customHeight="false" outlineLevel="0" collapsed="false">
      <c r="B19" s="8" t="s">
        <v>226</v>
      </c>
    </row>
    <row r="20" customFormat="false" ht="16.4" hidden="false" customHeight="false" outlineLevel="0" collapsed="false">
      <c r="B20" s="8" t="s">
        <v>227</v>
      </c>
    </row>
    <row r="21" customFormat="false" ht="16.4" hidden="false" customHeight="false" outlineLevel="0" collapsed="false">
      <c r="B21" s="17" t="s">
        <v>228</v>
      </c>
    </row>
  </sheetData>
  <conditionalFormatting sqref="C6:E14">
    <cfRule type="colorScale" priority="2">
      <colorScale>
        <cfvo type="min" val="0"/>
        <cfvo type="num" val="0.2"/>
        <cfvo type="max" val="0"/>
        <color rgb="FFFFFFFF"/>
        <color rgb="FFDBEAFE"/>
        <color rgb="FF2563E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9.11"/>
    <col collapsed="false" customWidth="true" hidden="false" outlineLevel="0" max="3" min="3" style="0" width="16.38"/>
    <col collapsed="false" customWidth="true" hidden="false" outlineLevel="0" max="4" min="4" style="0" width="14.56"/>
    <col collapsed="false" customWidth="true" hidden="false" outlineLevel="0" max="5" min="5" style="0" width="45.49"/>
  </cols>
  <sheetData>
    <row r="2" customFormat="false" ht="22.35" hidden="false" customHeight="false" outlineLevel="0" collapsed="false">
      <c r="B2" s="1" t="s">
        <v>27</v>
      </c>
    </row>
    <row r="4" customFormat="false" ht="16.4" hidden="false" customHeight="false" outlineLevel="0" collapsed="false">
      <c r="B4" s="6" t="s">
        <v>28</v>
      </c>
      <c r="C4" s="6" t="s">
        <v>29</v>
      </c>
      <c r="D4" s="6" t="s">
        <v>30</v>
      </c>
      <c r="E4" s="6" t="s">
        <v>31</v>
      </c>
    </row>
    <row r="5" customFormat="false" ht="15" hidden="false" customHeight="false" outlineLevel="0" collapsed="false">
      <c r="B5" s="7" t="s">
        <v>32</v>
      </c>
    </row>
    <row r="6" customFormat="false" ht="16.4" hidden="false" customHeight="false" outlineLevel="0" collapsed="false">
      <c r="B6" s="8" t="s">
        <v>33</v>
      </c>
      <c r="C6" s="9" t="n">
        <v>50</v>
      </c>
      <c r="D6" s="10" t="s">
        <v>34</v>
      </c>
      <c r="E6" s="8" t="s">
        <v>35</v>
      </c>
    </row>
    <row r="7" customFormat="false" ht="16.4" hidden="false" customHeight="false" outlineLevel="0" collapsed="false">
      <c r="B7" s="8" t="s">
        <v>36</v>
      </c>
      <c r="C7" s="9" t="n">
        <v>70</v>
      </c>
      <c r="D7" s="10" t="s">
        <v>37</v>
      </c>
      <c r="E7" s="8" t="s">
        <v>38</v>
      </c>
    </row>
    <row r="8" customFormat="false" ht="15" hidden="false" customHeight="false" outlineLevel="0" collapsed="false">
      <c r="B8" s="8" t="s">
        <v>39</v>
      </c>
      <c r="C8" s="11" t="n">
        <v>30</v>
      </c>
      <c r="D8" s="10" t="s">
        <v>40</v>
      </c>
      <c r="E8" s="8"/>
    </row>
    <row r="9" customFormat="false" ht="16.4" hidden="false" customHeight="false" outlineLevel="0" collapsed="false">
      <c r="B9" s="8" t="s">
        <v>41</v>
      </c>
      <c r="C9" s="12" t="n">
        <v>0.35</v>
      </c>
      <c r="D9" s="13" t="s">
        <v>42</v>
      </c>
      <c r="E9" s="8" t="s">
        <v>43</v>
      </c>
    </row>
    <row r="10" customFormat="false" ht="16.4" hidden="false" customHeight="false" outlineLevel="0" collapsed="false">
      <c r="B10" s="8" t="s">
        <v>44</v>
      </c>
      <c r="C10" s="14" t="n">
        <v>0.07</v>
      </c>
      <c r="D10" s="13" t="s">
        <v>42</v>
      </c>
      <c r="E10" s="8" t="s">
        <v>45</v>
      </c>
    </row>
    <row r="11" customFormat="false" ht="16.4" hidden="false" customHeight="false" outlineLevel="0" collapsed="false">
      <c r="B11" s="8" t="s">
        <v>46</v>
      </c>
      <c r="C11" s="14" t="n">
        <v>0.04</v>
      </c>
      <c r="D11" s="13" t="s">
        <v>42</v>
      </c>
      <c r="E11" s="8" t="s">
        <v>47</v>
      </c>
    </row>
    <row r="12" customFormat="false" ht="16.4" hidden="false" customHeight="false" outlineLevel="0" collapsed="false">
      <c r="B12" s="8" t="s">
        <v>48</v>
      </c>
      <c r="C12" s="14" t="n">
        <v>0.015</v>
      </c>
      <c r="D12" s="13" t="s">
        <v>42</v>
      </c>
      <c r="E12" s="8" t="s">
        <v>49</v>
      </c>
    </row>
    <row r="13" customFormat="false" ht="15" hidden="false" customHeight="false" outlineLevel="0" collapsed="false">
      <c r="B13" s="7" t="s">
        <v>50</v>
      </c>
    </row>
    <row r="14" customFormat="false" ht="16.4" hidden="false" customHeight="false" outlineLevel="0" collapsed="false">
      <c r="B14" s="8" t="s">
        <v>51</v>
      </c>
      <c r="C14" s="11" t="n">
        <v>3500</v>
      </c>
      <c r="D14" s="10" t="s">
        <v>52</v>
      </c>
      <c r="E14" s="8" t="s">
        <v>53</v>
      </c>
    </row>
    <row r="15" customFormat="false" ht="16.4" hidden="false" customHeight="false" outlineLevel="0" collapsed="false">
      <c r="B15" s="8" t="s">
        <v>54</v>
      </c>
      <c r="C15" s="11" t="n">
        <v>6750</v>
      </c>
      <c r="D15" s="10" t="s">
        <v>52</v>
      </c>
      <c r="E15" s="8" t="s">
        <v>55</v>
      </c>
    </row>
    <row r="16" customFormat="false" ht="16.4" hidden="false" customHeight="false" outlineLevel="0" collapsed="false">
      <c r="B16" s="8" t="s">
        <v>56</v>
      </c>
      <c r="C16" s="11" t="n">
        <v>1200</v>
      </c>
      <c r="D16" s="10" t="s">
        <v>52</v>
      </c>
      <c r="E16" s="8"/>
    </row>
    <row r="17" customFormat="false" ht="16.4" hidden="false" customHeight="false" outlineLevel="0" collapsed="false">
      <c r="B17" s="8" t="s">
        <v>57</v>
      </c>
      <c r="C17" s="11" t="n">
        <v>4000</v>
      </c>
      <c r="D17" s="10" t="s">
        <v>52</v>
      </c>
      <c r="E17" s="8" t="s">
        <v>58</v>
      </c>
    </row>
    <row r="18" customFormat="false" ht="16.4" hidden="false" customHeight="false" outlineLevel="0" collapsed="false">
      <c r="B18" s="8" t="s">
        <v>59</v>
      </c>
      <c r="C18" s="11" t="n">
        <v>300</v>
      </c>
      <c r="D18" s="10" t="s">
        <v>52</v>
      </c>
      <c r="E18" s="8" t="s">
        <v>60</v>
      </c>
    </row>
    <row r="19" customFormat="false" ht="16.4" hidden="false" customHeight="false" outlineLevel="0" collapsed="false">
      <c r="B19" s="8" t="s">
        <v>61</v>
      </c>
      <c r="C19" s="11" t="n">
        <v>300</v>
      </c>
      <c r="D19" s="10" t="s">
        <v>52</v>
      </c>
      <c r="E19" s="8" t="s">
        <v>62</v>
      </c>
    </row>
    <row r="20" customFormat="false" ht="17.15" hidden="false" customHeight="false" outlineLevel="0" collapsed="false">
      <c r="B20" s="7" t="s">
        <v>63</v>
      </c>
    </row>
    <row r="21" customFormat="false" ht="15" hidden="false" customHeight="false" outlineLevel="0" collapsed="false">
      <c r="B21" s="6" t="s">
        <v>64</v>
      </c>
      <c r="C21" s="15" t="s">
        <v>65</v>
      </c>
      <c r="D21" s="15" t="s">
        <v>66</v>
      </c>
      <c r="E21" s="15" t="s">
        <v>67</v>
      </c>
      <c r="F21" s="15" t="s">
        <v>68</v>
      </c>
      <c r="G21" s="15" t="s">
        <v>69</v>
      </c>
      <c r="H21" s="15" t="s">
        <v>70</v>
      </c>
      <c r="I21" s="15" t="s">
        <v>71</v>
      </c>
      <c r="J21" s="15" t="s">
        <v>72</v>
      </c>
      <c r="K21" s="15" t="s">
        <v>73</v>
      </c>
      <c r="L21" s="15" t="s">
        <v>74</v>
      </c>
      <c r="M21" s="15" t="s">
        <v>75</v>
      </c>
      <c r="N21" s="15" t="s">
        <v>76</v>
      </c>
    </row>
    <row r="22" customFormat="false" ht="15" hidden="false" customHeight="false" outlineLevel="0" collapsed="false">
      <c r="B22" s="8" t="s">
        <v>77</v>
      </c>
      <c r="C22" s="16" t="n">
        <v>0.2</v>
      </c>
      <c r="D22" s="16" t="n">
        <v>0.4</v>
      </c>
      <c r="E22" s="16" t="n">
        <v>0.6</v>
      </c>
      <c r="F22" s="16" t="n">
        <v>0.8</v>
      </c>
      <c r="G22" s="16" t="n">
        <v>1</v>
      </c>
      <c r="H22" s="16" t="n">
        <v>1.1</v>
      </c>
      <c r="I22" s="16" t="n">
        <v>1.15</v>
      </c>
      <c r="J22" s="16" t="n">
        <v>1.2</v>
      </c>
      <c r="K22" s="16" t="n">
        <v>1.25</v>
      </c>
      <c r="L22" s="16" t="n">
        <v>1.4</v>
      </c>
      <c r="M22" s="16" t="n">
        <v>1.55</v>
      </c>
      <c r="N22" s="16" t="n">
        <v>1.4</v>
      </c>
    </row>
    <row r="24" customFormat="false" ht="15" hidden="false" customHeight="false" outlineLevel="0" collapsed="false">
      <c r="B24" s="7" t="s">
        <v>78</v>
      </c>
    </row>
    <row r="25" customFormat="false" ht="15" hidden="false" customHeight="false" outlineLevel="0" collapsed="false">
      <c r="B25" s="8" t="s">
        <v>79</v>
      </c>
      <c r="C25" s="11" t="n">
        <v>7500</v>
      </c>
    </row>
    <row r="26" customFormat="false" ht="15" hidden="false" customHeight="false" outlineLevel="0" collapsed="false">
      <c r="B26" s="8" t="s">
        <v>80</v>
      </c>
      <c r="C26" s="11" t="n">
        <v>8000</v>
      </c>
    </row>
    <row r="27" customFormat="false" ht="16.4" hidden="false" customHeight="false" outlineLevel="0" collapsed="false">
      <c r="B27" s="8" t="s">
        <v>81</v>
      </c>
      <c r="C27" s="11" t="n">
        <v>35000</v>
      </c>
    </row>
    <row r="28" customFormat="false" ht="16.4" hidden="false" customHeight="false" outlineLevel="0" collapsed="false">
      <c r="B28" s="8" t="s">
        <v>82</v>
      </c>
      <c r="C28" s="11" t="n">
        <v>1500</v>
      </c>
    </row>
    <row r="29" customFormat="false" ht="16.4" hidden="false" customHeight="false" outlineLevel="0" collapsed="false">
      <c r="B29" s="8" t="s">
        <v>83</v>
      </c>
      <c r="C29" s="11" t="n">
        <v>4000</v>
      </c>
    </row>
    <row r="30" customFormat="false" ht="16.4" hidden="false" customHeight="false" outlineLevel="0" collapsed="false">
      <c r="B30" s="17" t="s">
        <v>84</v>
      </c>
      <c r="C30" s="11" t="n">
        <v>12000</v>
      </c>
    </row>
    <row r="31" customFormat="false" ht="16.4" hidden="false" customHeight="false" outlineLevel="0" collapsed="false">
      <c r="B31" s="8" t="s">
        <v>85</v>
      </c>
      <c r="C31" s="11" t="n">
        <v>2000</v>
      </c>
    </row>
    <row r="32" customFormat="false" ht="15" hidden="false" customHeight="false" outlineLevel="0" collapsed="false">
      <c r="B32" s="8" t="s">
        <v>86</v>
      </c>
      <c r="C32" s="11" t="n">
        <v>8000</v>
      </c>
    </row>
    <row r="33" customFormat="false" ht="15" hidden="false" customHeight="false" outlineLevel="0" collapsed="false">
      <c r="B33" s="8" t="s">
        <v>87</v>
      </c>
      <c r="C33" s="11" t="n">
        <v>12000</v>
      </c>
    </row>
    <row r="34" customFormat="false" ht="15" hidden="false" customHeight="false" outlineLevel="0" collapsed="false">
      <c r="B34" s="18" t="s">
        <v>88</v>
      </c>
      <c r="C34" s="19" t="n">
        <f aca="false">SUM(C25:C33)</f>
        <v>90000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9.11"/>
    <col collapsed="false" customWidth="true" hidden="false" outlineLevel="0" max="3" min="3" style="0" width="14.56"/>
    <col collapsed="false" customWidth="true" hidden="false" outlineLevel="0" max="4" min="4" style="0" width="45.49"/>
  </cols>
  <sheetData>
    <row r="2" customFormat="false" ht="19.7" hidden="false" customHeight="false" outlineLevel="0" collapsed="false">
      <c r="B2" s="1" t="s">
        <v>89</v>
      </c>
    </row>
    <row r="4" customFormat="false" ht="15" hidden="false" customHeight="false" outlineLevel="0" collapsed="false">
      <c r="B4" s="6" t="s">
        <v>28</v>
      </c>
      <c r="C4" s="6" t="s">
        <v>90</v>
      </c>
      <c r="D4" s="6" t="s">
        <v>91</v>
      </c>
    </row>
    <row r="5" customFormat="false" ht="16.4" hidden="false" customHeight="false" outlineLevel="0" collapsed="false">
      <c r="B5" s="8" t="s">
        <v>79</v>
      </c>
      <c r="C5" s="20" t="n">
        <f aca="false">'1_关键假设'!C25</f>
        <v>7500</v>
      </c>
      <c r="D5" s="17" t="s">
        <v>92</v>
      </c>
    </row>
    <row r="6" customFormat="false" ht="16.4" hidden="false" customHeight="false" outlineLevel="0" collapsed="false">
      <c r="B6" s="8" t="s">
        <v>80</v>
      </c>
      <c r="C6" s="20" t="n">
        <f aca="false">'1_关键假设'!C26</f>
        <v>8000</v>
      </c>
      <c r="D6" s="8" t="s">
        <v>93</v>
      </c>
    </row>
    <row r="7" customFormat="false" ht="16.4" hidden="false" customHeight="false" outlineLevel="0" collapsed="false">
      <c r="B7" s="8" t="s">
        <v>81</v>
      </c>
      <c r="C7" s="20" t="n">
        <f aca="false">'1_关键假设'!C27</f>
        <v>35000</v>
      </c>
      <c r="D7" s="8" t="s">
        <v>94</v>
      </c>
    </row>
    <row r="8" customFormat="false" ht="16.4" hidden="false" customHeight="false" outlineLevel="0" collapsed="false">
      <c r="B8" s="8" t="s">
        <v>95</v>
      </c>
      <c r="C8" s="20" t="n">
        <f aca="false">'1_关键假设'!C28</f>
        <v>1500</v>
      </c>
      <c r="D8" s="8" t="s">
        <v>96</v>
      </c>
    </row>
    <row r="9" customFormat="false" ht="16.4" hidden="false" customHeight="false" outlineLevel="0" collapsed="false">
      <c r="B9" s="8" t="s">
        <v>83</v>
      </c>
      <c r="C9" s="20" t="n">
        <f aca="false">'1_关键假设'!C29</f>
        <v>4000</v>
      </c>
      <c r="D9" s="8" t="s">
        <v>97</v>
      </c>
    </row>
    <row r="10" customFormat="false" ht="16.4" hidden="false" customHeight="false" outlineLevel="0" collapsed="false">
      <c r="B10" s="17" t="s">
        <v>84</v>
      </c>
      <c r="C10" s="20" t="n">
        <f aca="false">'1_关键假设'!C30</f>
        <v>12000</v>
      </c>
      <c r="D10" s="8" t="s">
        <v>98</v>
      </c>
    </row>
    <row r="11" customFormat="false" ht="16.4" hidden="false" customHeight="false" outlineLevel="0" collapsed="false">
      <c r="B11" s="8" t="s">
        <v>85</v>
      </c>
      <c r="C11" s="20" t="n">
        <f aca="false">'1_关键假设'!C31</f>
        <v>2000</v>
      </c>
      <c r="D11" s="8" t="s">
        <v>99</v>
      </c>
    </row>
    <row r="12" customFormat="false" ht="16.4" hidden="false" customHeight="false" outlineLevel="0" collapsed="false">
      <c r="B12" s="8" t="s">
        <v>86</v>
      </c>
      <c r="C12" s="20" t="n">
        <f aca="false">'1_关键假设'!C32</f>
        <v>8000</v>
      </c>
      <c r="D12" s="8" t="s">
        <v>100</v>
      </c>
    </row>
    <row r="13" customFormat="false" ht="16.4" hidden="false" customHeight="false" outlineLevel="0" collapsed="false">
      <c r="B13" s="8" t="s">
        <v>87</v>
      </c>
      <c r="C13" s="20" t="n">
        <f aca="false">'1_关键假设'!C33</f>
        <v>12000</v>
      </c>
      <c r="D13" s="8" t="s">
        <v>101</v>
      </c>
    </row>
    <row r="14" customFormat="false" ht="15" hidden="false" customHeight="false" outlineLevel="0" collapsed="false">
      <c r="B14" s="18" t="s">
        <v>102</v>
      </c>
      <c r="C14" s="19" t="n">
        <f aca="false">SUM(C5:C13)</f>
        <v>90000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3.66"/>
    <col collapsed="false" customWidth="true" hidden="false" outlineLevel="0" max="15" min="3" style="0" width="10.92"/>
  </cols>
  <sheetData>
    <row r="2" customFormat="false" ht="22.35" hidden="false" customHeight="false" outlineLevel="0" collapsed="false">
      <c r="B2" s="1" t="s">
        <v>103</v>
      </c>
    </row>
    <row r="4" customFormat="false" ht="15" hidden="false" customHeight="false" outlineLevel="0" collapsed="false">
      <c r="B4" s="6" t="s">
        <v>28</v>
      </c>
      <c r="C4" s="15" t="s">
        <v>65</v>
      </c>
      <c r="D4" s="15" t="s">
        <v>66</v>
      </c>
      <c r="E4" s="15" t="s">
        <v>67</v>
      </c>
      <c r="F4" s="15" t="s">
        <v>68</v>
      </c>
      <c r="G4" s="15" t="s">
        <v>69</v>
      </c>
      <c r="H4" s="15" t="s">
        <v>70</v>
      </c>
      <c r="I4" s="15" t="s">
        <v>71</v>
      </c>
      <c r="J4" s="15" t="s">
        <v>72</v>
      </c>
      <c r="K4" s="15" t="s">
        <v>73</v>
      </c>
      <c r="L4" s="15" t="s">
        <v>74</v>
      </c>
      <c r="M4" s="15" t="s">
        <v>75</v>
      </c>
      <c r="N4" s="15" t="s">
        <v>76</v>
      </c>
      <c r="O4" s="6" t="s">
        <v>104</v>
      </c>
    </row>
    <row r="5" customFormat="false" ht="15" hidden="false" customHeight="false" outlineLevel="0" collapsed="false">
      <c r="B5" s="8" t="s">
        <v>105</v>
      </c>
      <c r="C5" s="21" t="n">
        <f aca="false">'1_关键假设'!$C$6*'1_关键假设'!C22</f>
        <v>10</v>
      </c>
      <c r="D5" s="21" t="n">
        <f aca="false">'1_关键假设'!$C$6*'1_关键假设'!D22</f>
        <v>20</v>
      </c>
      <c r="E5" s="21" t="n">
        <f aca="false">'1_关键假设'!$C$6*'1_关键假设'!E22</f>
        <v>30</v>
      </c>
      <c r="F5" s="21" t="n">
        <f aca="false">'1_关键假设'!$C$6*'1_关键假设'!F22</f>
        <v>40</v>
      </c>
      <c r="G5" s="21" t="n">
        <f aca="false">'1_关键假设'!$C$6*'1_关键假设'!G22</f>
        <v>50</v>
      </c>
      <c r="H5" s="21" t="n">
        <f aca="false">'1_关键假设'!$C$6*'1_关键假设'!H22</f>
        <v>55</v>
      </c>
      <c r="I5" s="21" t="n">
        <f aca="false">'1_关键假设'!$C$6*'1_关键假设'!I22</f>
        <v>57.5</v>
      </c>
      <c r="J5" s="21" t="n">
        <f aca="false">'1_关键假设'!$C$6*'1_关键假设'!J22</f>
        <v>60</v>
      </c>
      <c r="K5" s="21" t="n">
        <f aca="false">'1_关键假设'!$C$6*'1_关键假设'!K22</f>
        <v>62.5</v>
      </c>
      <c r="L5" s="21" t="n">
        <f aca="false">'1_关键假设'!$C$6*'1_关键假设'!L22</f>
        <v>70</v>
      </c>
      <c r="M5" s="21" t="n">
        <f aca="false">'1_关键假设'!$C$6*'1_关键假设'!M22</f>
        <v>77.5</v>
      </c>
      <c r="N5" s="21" t="n">
        <f aca="false">'1_关键假设'!$C$6*'1_关键假设'!N22</f>
        <v>70</v>
      </c>
      <c r="O5" s="21" t="n">
        <f aca="false">AVERAGE(C5:N5)</f>
        <v>50.2083333333333</v>
      </c>
    </row>
    <row r="6" customFormat="false" ht="15" hidden="false" customHeight="false" outlineLevel="0" collapsed="false">
      <c r="B6" s="8" t="s">
        <v>106</v>
      </c>
      <c r="C6" s="22" t="n">
        <f aca="false">C5*'1_关键假设'!$C$8</f>
        <v>300</v>
      </c>
      <c r="D6" s="22" t="n">
        <f aca="false">D5*'1_关键假设'!$C$8</f>
        <v>600</v>
      </c>
      <c r="E6" s="22" t="n">
        <f aca="false">E5*'1_关键假设'!$C$8</f>
        <v>900</v>
      </c>
      <c r="F6" s="22" t="n">
        <f aca="false">F5*'1_关键假设'!$C$8</f>
        <v>1200</v>
      </c>
      <c r="G6" s="22" t="n">
        <f aca="false">G5*'1_关键假设'!$C$8</f>
        <v>1500</v>
      </c>
      <c r="H6" s="22" t="n">
        <f aca="false">H5*'1_关键假设'!$C$8</f>
        <v>1650</v>
      </c>
      <c r="I6" s="22" t="n">
        <f aca="false">I5*'1_关键假设'!$C$8</f>
        <v>1725</v>
      </c>
      <c r="J6" s="22" t="n">
        <f aca="false">J5*'1_关键假设'!$C$8</f>
        <v>1800</v>
      </c>
      <c r="K6" s="22" t="n">
        <f aca="false">K5*'1_关键假设'!$C$8</f>
        <v>1875</v>
      </c>
      <c r="L6" s="22" t="n">
        <f aca="false">L5*'1_关键假设'!$C$8</f>
        <v>2100</v>
      </c>
      <c r="M6" s="22" t="n">
        <f aca="false">M5*'1_关键假设'!$C$8</f>
        <v>2325</v>
      </c>
      <c r="N6" s="22" t="n">
        <f aca="false">N5*'1_关键假设'!$C$8</f>
        <v>2100</v>
      </c>
      <c r="O6" s="22" t="n">
        <f aca="false">SUM(C6:N6)</f>
        <v>18075</v>
      </c>
    </row>
    <row r="7" customFormat="false" ht="16.4" hidden="false" customHeight="false" outlineLevel="0" collapsed="false">
      <c r="B7" s="23" t="s">
        <v>107</v>
      </c>
      <c r="C7" s="24" t="n">
        <f aca="false">C6*'1_关键假设'!$C$7</f>
        <v>21000</v>
      </c>
      <c r="D7" s="24" t="n">
        <f aca="false">D6*'1_关键假设'!$C$7</f>
        <v>42000</v>
      </c>
      <c r="E7" s="24" t="n">
        <f aca="false">E6*'1_关键假设'!$C$7</f>
        <v>63000</v>
      </c>
      <c r="F7" s="24" t="n">
        <f aca="false">F6*'1_关键假设'!$C$7</f>
        <v>84000</v>
      </c>
      <c r="G7" s="24" t="n">
        <f aca="false">G6*'1_关键假设'!$C$7</f>
        <v>105000</v>
      </c>
      <c r="H7" s="24" t="n">
        <f aca="false">H6*'1_关键假设'!$C$7</f>
        <v>115500</v>
      </c>
      <c r="I7" s="24" t="n">
        <f aca="false">I6*'1_关键假设'!$C$7</f>
        <v>120750</v>
      </c>
      <c r="J7" s="24" t="n">
        <f aca="false">J6*'1_关键假设'!$C$7</f>
        <v>126000</v>
      </c>
      <c r="K7" s="24" t="n">
        <f aca="false">K6*'1_关键假设'!$C$7</f>
        <v>131250</v>
      </c>
      <c r="L7" s="24" t="n">
        <f aca="false">L6*'1_关键假设'!$C$7</f>
        <v>147000</v>
      </c>
      <c r="M7" s="24" t="n">
        <f aca="false">M6*'1_关键假设'!$C$7</f>
        <v>162750</v>
      </c>
      <c r="N7" s="24" t="n">
        <f aca="false">N6*'1_关键假设'!$C$7</f>
        <v>147000</v>
      </c>
      <c r="O7" s="24" t="n">
        <f aca="false">SUM(C7:N7)</f>
        <v>1265250</v>
      </c>
    </row>
    <row r="9" customFormat="false" ht="16.4" hidden="false" customHeight="false" outlineLevel="0" collapsed="false">
      <c r="B9" s="8" t="s">
        <v>108</v>
      </c>
      <c r="C9" s="22" t="n">
        <f aca="false">C7*'1_关键假设'!$C$9</f>
        <v>7350</v>
      </c>
      <c r="D9" s="22" t="n">
        <f aca="false">D7*'1_关键假设'!$C$9</f>
        <v>14700</v>
      </c>
      <c r="E9" s="22" t="n">
        <f aca="false">E7*'1_关键假设'!$C$9</f>
        <v>22050</v>
      </c>
      <c r="F9" s="22" t="n">
        <f aca="false">F7*'1_关键假设'!$C$9</f>
        <v>29400</v>
      </c>
      <c r="G9" s="22" t="n">
        <f aca="false">G7*'1_关键假设'!$C$9</f>
        <v>36750</v>
      </c>
      <c r="H9" s="22" t="n">
        <f aca="false">H7*'1_关键假设'!$C$9</f>
        <v>40425</v>
      </c>
      <c r="I9" s="22" t="n">
        <f aca="false">I7*'1_关键假设'!$C$9</f>
        <v>42262.5</v>
      </c>
      <c r="J9" s="22" t="n">
        <f aca="false">J7*'1_关键假设'!$C$9</f>
        <v>44100</v>
      </c>
      <c r="K9" s="22" t="n">
        <f aca="false">K7*'1_关键假设'!$C$9</f>
        <v>45937.5</v>
      </c>
      <c r="L9" s="22" t="n">
        <f aca="false">L7*'1_关键假设'!$C$9</f>
        <v>51450</v>
      </c>
      <c r="M9" s="22" t="n">
        <f aca="false">M7*'1_关键假设'!$C$9</f>
        <v>56962.5</v>
      </c>
      <c r="N9" s="22" t="n">
        <f aca="false">N7*'1_关键假设'!$C$9</f>
        <v>51450</v>
      </c>
      <c r="O9" s="22" t="n">
        <f aca="false">SUM(C9:N9)</f>
        <v>442837.5</v>
      </c>
    </row>
    <row r="10" customFormat="false" ht="16.4" hidden="false" customHeight="false" outlineLevel="0" collapsed="false">
      <c r="B10" s="8" t="s">
        <v>109</v>
      </c>
      <c r="C10" s="22" t="n">
        <f aca="false">C7*'1_关键假设'!$C$10</f>
        <v>1470</v>
      </c>
      <c r="D10" s="22" t="n">
        <f aca="false">D7*'1_关键假设'!$C$10</f>
        <v>2940</v>
      </c>
      <c r="E10" s="22" t="n">
        <f aca="false">E7*'1_关键假设'!$C$10</f>
        <v>4410</v>
      </c>
      <c r="F10" s="22" t="n">
        <f aca="false">F7*'1_关键假设'!$C$10</f>
        <v>5880</v>
      </c>
      <c r="G10" s="22" t="n">
        <f aca="false">G7*'1_关键假设'!$C$10</f>
        <v>7350</v>
      </c>
      <c r="H10" s="22" t="n">
        <f aca="false">H7*'1_关键假设'!$C$10</f>
        <v>8085</v>
      </c>
      <c r="I10" s="22" t="n">
        <f aca="false">I7*'1_关键假设'!$C$10</f>
        <v>8452.5</v>
      </c>
      <c r="J10" s="22" t="n">
        <f aca="false">J7*'1_关键假设'!$C$10</f>
        <v>8820</v>
      </c>
      <c r="K10" s="22" t="n">
        <f aca="false">K7*'1_关键假设'!$C$10</f>
        <v>9187.5</v>
      </c>
      <c r="L10" s="22" t="n">
        <f aca="false">L7*'1_关键假设'!$C$10</f>
        <v>10290</v>
      </c>
      <c r="M10" s="22" t="n">
        <f aca="false">M7*'1_关键假设'!$C$10</f>
        <v>11392.5</v>
      </c>
      <c r="N10" s="22" t="n">
        <f aca="false">N7*'1_关键假设'!$C$10</f>
        <v>10290</v>
      </c>
      <c r="O10" s="22" t="n">
        <f aca="false">SUM(C10:N10)</f>
        <v>88567.5</v>
      </c>
    </row>
    <row r="11" customFormat="false" ht="16.4" hidden="false" customHeight="false" outlineLevel="0" collapsed="false">
      <c r="B11" s="8" t="s">
        <v>110</v>
      </c>
      <c r="C11" s="22" t="n">
        <f aca="false">C7*'1_关键假设'!$C$11</f>
        <v>840</v>
      </c>
      <c r="D11" s="22" t="n">
        <f aca="false">D7*'1_关键假设'!$C$11</f>
        <v>1680</v>
      </c>
      <c r="E11" s="22" t="n">
        <f aca="false">E7*'1_关键假设'!$C$11</f>
        <v>2520</v>
      </c>
      <c r="F11" s="22" t="n">
        <f aca="false">F7*'1_关键假设'!$C$11</f>
        <v>3360</v>
      </c>
      <c r="G11" s="22" t="n">
        <f aca="false">G7*'1_关键假设'!$C$11</f>
        <v>4200</v>
      </c>
      <c r="H11" s="22" t="n">
        <f aca="false">H7*'1_关键假设'!$C$11</f>
        <v>4620</v>
      </c>
      <c r="I11" s="22" t="n">
        <f aca="false">I7*'1_关键假设'!$C$11</f>
        <v>4830</v>
      </c>
      <c r="J11" s="22" t="n">
        <f aca="false">J7*'1_关键假设'!$C$11</f>
        <v>5040</v>
      </c>
      <c r="K11" s="22" t="n">
        <f aca="false">K7*'1_关键假设'!$C$11</f>
        <v>5250</v>
      </c>
      <c r="L11" s="22" t="n">
        <f aca="false">L7*'1_关键假设'!$C$11</f>
        <v>5880</v>
      </c>
      <c r="M11" s="22" t="n">
        <f aca="false">M7*'1_关键假设'!$C$11</f>
        <v>6510</v>
      </c>
      <c r="N11" s="22" t="n">
        <f aca="false">N7*'1_关键假设'!$C$11</f>
        <v>5880</v>
      </c>
      <c r="O11" s="22" t="n">
        <f aca="false">SUM(C11:N11)</f>
        <v>50610</v>
      </c>
    </row>
    <row r="12" customFormat="false" ht="16.4" hidden="false" customHeight="false" outlineLevel="0" collapsed="false">
      <c r="B12" s="8" t="s">
        <v>111</v>
      </c>
      <c r="C12" s="22" t="n">
        <f aca="false">C7*'1_关键假设'!$C$12</f>
        <v>315</v>
      </c>
      <c r="D12" s="22" t="n">
        <f aca="false">D7*'1_关键假设'!$C$12</f>
        <v>630</v>
      </c>
      <c r="E12" s="22" t="n">
        <f aca="false">E7*'1_关键假设'!$C$12</f>
        <v>945</v>
      </c>
      <c r="F12" s="22" t="n">
        <f aca="false">F7*'1_关键假设'!$C$12</f>
        <v>1260</v>
      </c>
      <c r="G12" s="22" t="n">
        <f aca="false">G7*'1_关键假设'!$C$12</f>
        <v>1575</v>
      </c>
      <c r="H12" s="22" t="n">
        <f aca="false">H7*'1_关键假设'!$C$12</f>
        <v>1732.5</v>
      </c>
      <c r="I12" s="22" t="n">
        <f aca="false">I7*'1_关键假设'!$C$12</f>
        <v>1811.25</v>
      </c>
      <c r="J12" s="22" t="n">
        <f aca="false">J7*'1_关键假设'!$C$12</f>
        <v>1890</v>
      </c>
      <c r="K12" s="22" t="n">
        <f aca="false">K7*'1_关键假设'!$C$12</f>
        <v>1968.75</v>
      </c>
      <c r="L12" s="22" t="n">
        <f aca="false">L7*'1_关键假设'!$C$12</f>
        <v>2205</v>
      </c>
      <c r="M12" s="22" t="n">
        <f aca="false">M7*'1_关键假设'!$C$12</f>
        <v>2441.25</v>
      </c>
      <c r="N12" s="22" t="n">
        <f aca="false">N7*'1_关键假设'!$C$12</f>
        <v>2205</v>
      </c>
      <c r="O12" s="22" t="n">
        <f aca="false">SUM(C12:N12)</f>
        <v>18978.75</v>
      </c>
    </row>
    <row r="13" customFormat="false" ht="15" hidden="false" customHeight="false" outlineLevel="0" collapsed="false">
      <c r="B13" s="25" t="s">
        <v>112</v>
      </c>
      <c r="C13" s="24" t="n">
        <f aca="false">C7-SUM(C9:C12)</f>
        <v>11025</v>
      </c>
      <c r="D13" s="24" t="n">
        <f aca="false">D7-SUM(D9:D12)</f>
        <v>22050</v>
      </c>
      <c r="E13" s="24" t="n">
        <f aca="false">E7-SUM(E9:E12)</f>
        <v>33075</v>
      </c>
      <c r="F13" s="24" t="n">
        <f aca="false">F7-SUM(F9:F12)</f>
        <v>44100</v>
      </c>
      <c r="G13" s="24" t="n">
        <f aca="false">G7-SUM(G9:G12)</f>
        <v>55125</v>
      </c>
      <c r="H13" s="24" t="n">
        <f aca="false">H7-SUM(H9:H12)</f>
        <v>60637.5</v>
      </c>
      <c r="I13" s="24" t="n">
        <f aca="false">I7-SUM(I9:I12)</f>
        <v>63393.75</v>
      </c>
      <c r="J13" s="24" t="n">
        <f aca="false">J7-SUM(J9:J12)</f>
        <v>66150</v>
      </c>
      <c r="K13" s="24" t="n">
        <f aca="false">K7-SUM(K9:K12)</f>
        <v>68906.25</v>
      </c>
      <c r="L13" s="24" t="n">
        <f aca="false">L7-SUM(L9:L12)</f>
        <v>77175</v>
      </c>
      <c r="M13" s="24" t="n">
        <f aca="false">M7-SUM(M9:M12)</f>
        <v>85443.75</v>
      </c>
      <c r="N13" s="24" t="n">
        <f aca="false">N7-SUM(N9:N12)</f>
        <v>77175</v>
      </c>
      <c r="O13" s="24" t="n">
        <f aca="false">SUM(C13:N13)</f>
        <v>664256.25</v>
      </c>
    </row>
    <row r="15" customFormat="false" ht="15" hidden="false" customHeight="false" outlineLevel="0" collapsed="false">
      <c r="B15" s="26" t="s">
        <v>113</v>
      </c>
    </row>
    <row r="16" customFormat="false" ht="15" hidden="false" customHeight="false" outlineLevel="0" collapsed="false">
      <c r="B16" s="8" t="s">
        <v>114</v>
      </c>
      <c r="C16" s="22" t="n">
        <f aca="false">'1_关键假设'!$C$14</f>
        <v>3500</v>
      </c>
      <c r="D16" s="22" t="n">
        <f aca="false">'1_关键假设'!$C$14</f>
        <v>3500</v>
      </c>
      <c r="E16" s="22" t="n">
        <f aca="false">'1_关键假设'!$C$14</f>
        <v>3500</v>
      </c>
      <c r="F16" s="22" t="n">
        <f aca="false">'1_关键假设'!$C$14</f>
        <v>3500</v>
      </c>
      <c r="G16" s="22" t="n">
        <f aca="false">'1_关键假设'!$C$14</f>
        <v>3500</v>
      </c>
      <c r="H16" s="22" t="n">
        <f aca="false">'1_关键假设'!$C$14</f>
        <v>3500</v>
      </c>
      <c r="I16" s="22" t="n">
        <f aca="false">'1_关键假设'!$C$14</f>
        <v>3500</v>
      </c>
      <c r="J16" s="22" t="n">
        <f aca="false">'1_关键假设'!$C$14</f>
        <v>3500</v>
      </c>
      <c r="K16" s="22" t="n">
        <f aca="false">'1_关键假设'!$C$14</f>
        <v>3500</v>
      </c>
      <c r="L16" s="22" t="n">
        <f aca="false">'1_关键假设'!$C$14</f>
        <v>3500</v>
      </c>
      <c r="M16" s="22" t="n">
        <f aca="false">'1_关键假设'!$C$14</f>
        <v>3500</v>
      </c>
      <c r="N16" s="22" t="n">
        <f aca="false">'1_关键假设'!$C$14</f>
        <v>3500</v>
      </c>
      <c r="O16" s="22" t="n">
        <f aca="false">SUM(C16:N16)</f>
        <v>42000</v>
      </c>
    </row>
    <row r="17" customFormat="false" ht="15" hidden="false" customHeight="false" outlineLevel="0" collapsed="false">
      <c r="B17" s="8" t="s">
        <v>115</v>
      </c>
      <c r="C17" s="22" t="n">
        <f aca="false">'1_关键假设'!$C$15</f>
        <v>6750</v>
      </c>
      <c r="D17" s="22" t="n">
        <f aca="false">'1_关键假设'!$C$15</f>
        <v>6750</v>
      </c>
      <c r="E17" s="22" t="n">
        <f aca="false">'1_关键假设'!$C$15</f>
        <v>6750</v>
      </c>
      <c r="F17" s="22" t="n">
        <f aca="false">'1_关键假设'!$C$15</f>
        <v>6750</v>
      </c>
      <c r="G17" s="22" t="n">
        <f aca="false">'1_关键假设'!$C$15</f>
        <v>6750</v>
      </c>
      <c r="H17" s="22" t="n">
        <f aca="false">'1_关键假设'!$C$15</f>
        <v>6750</v>
      </c>
      <c r="I17" s="22" t="n">
        <f aca="false">'1_关键假设'!$C$15</f>
        <v>6750</v>
      </c>
      <c r="J17" s="22" t="n">
        <f aca="false">'1_关键假设'!$C$15</f>
        <v>6750</v>
      </c>
      <c r="K17" s="22" t="n">
        <f aca="false">'1_关键假设'!$C$15</f>
        <v>6750</v>
      </c>
      <c r="L17" s="22" t="n">
        <f aca="false">'1_关键假设'!$C$15</f>
        <v>6750</v>
      </c>
      <c r="M17" s="22" t="n">
        <f aca="false">'1_关键假设'!$C$15</f>
        <v>6750</v>
      </c>
      <c r="N17" s="22" t="n">
        <f aca="false">'1_关键假设'!$C$15</f>
        <v>6750</v>
      </c>
      <c r="O17" s="22" t="n">
        <f aca="false">SUM(C17:N17)</f>
        <v>81000</v>
      </c>
    </row>
    <row r="18" customFormat="false" ht="15" hidden="false" customHeight="false" outlineLevel="0" collapsed="false">
      <c r="B18" s="8" t="s">
        <v>56</v>
      </c>
      <c r="C18" s="22" t="n">
        <f aca="false">'1_关键假设'!$C$16</f>
        <v>1200</v>
      </c>
      <c r="D18" s="22" t="n">
        <f aca="false">'1_关键假设'!$C$16</f>
        <v>1200</v>
      </c>
      <c r="E18" s="22" t="n">
        <f aca="false">'1_关键假设'!$C$16</f>
        <v>1200</v>
      </c>
      <c r="F18" s="22" t="n">
        <f aca="false">'1_关键假设'!$C$16</f>
        <v>1200</v>
      </c>
      <c r="G18" s="22" t="n">
        <f aca="false">'1_关键假设'!$C$16</f>
        <v>1200</v>
      </c>
      <c r="H18" s="22" t="n">
        <f aca="false">'1_关键假设'!$C$16</f>
        <v>1200</v>
      </c>
      <c r="I18" s="22" t="n">
        <f aca="false">'1_关键假设'!$C$16</f>
        <v>1200</v>
      </c>
      <c r="J18" s="22" t="n">
        <f aca="false">'1_关键假设'!$C$16</f>
        <v>1200</v>
      </c>
      <c r="K18" s="22" t="n">
        <f aca="false">'1_关键假设'!$C$16</f>
        <v>1200</v>
      </c>
      <c r="L18" s="22" t="n">
        <f aca="false">'1_关键假设'!$C$16</f>
        <v>1200</v>
      </c>
      <c r="M18" s="22" t="n">
        <f aca="false">'1_关键假设'!$C$16</f>
        <v>1200</v>
      </c>
      <c r="N18" s="22" t="n">
        <f aca="false">'1_关键假设'!$C$16</f>
        <v>1200</v>
      </c>
      <c r="O18" s="22" t="n">
        <f aca="false">SUM(C18:N18)</f>
        <v>14400</v>
      </c>
    </row>
    <row r="19" customFormat="false" ht="15" hidden="false" customHeight="false" outlineLevel="0" collapsed="false">
      <c r="B19" s="8" t="s">
        <v>57</v>
      </c>
      <c r="C19" s="22" t="n">
        <f aca="false">'1_关键假设'!$C$17</f>
        <v>4000</v>
      </c>
      <c r="D19" s="22" t="n">
        <f aca="false">'1_关键假设'!$C$17</f>
        <v>4000</v>
      </c>
      <c r="E19" s="22" t="n">
        <f aca="false">'1_关键假设'!$C$17</f>
        <v>4000</v>
      </c>
      <c r="F19" s="22" t="n">
        <f aca="false">'1_关键假设'!$C$17</f>
        <v>4000</v>
      </c>
      <c r="G19" s="22" t="n">
        <f aca="false">'1_关键假设'!$C$17</f>
        <v>4000</v>
      </c>
      <c r="H19" s="22" t="n">
        <f aca="false">'1_关键假设'!$C$17</f>
        <v>4000</v>
      </c>
      <c r="I19" s="22" t="n">
        <f aca="false">'1_关键假设'!$C$17</f>
        <v>4000</v>
      </c>
      <c r="J19" s="22" t="n">
        <f aca="false">'1_关键假设'!$C$17</f>
        <v>4000</v>
      </c>
      <c r="K19" s="22" t="n">
        <f aca="false">'1_关键假设'!$C$17</f>
        <v>4000</v>
      </c>
      <c r="L19" s="22" t="n">
        <f aca="false">'1_关键假设'!$C$17</f>
        <v>4000</v>
      </c>
      <c r="M19" s="22" t="n">
        <f aca="false">'1_关键假设'!$C$17</f>
        <v>4000</v>
      </c>
      <c r="N19" s="22" t="n">
        <f aca="false">'1_关键假设'!$C$17</f>
        <v>4000</v>
      </c>
      <c r="O19" s="22" t="n">
        <f aca="false">SUM(C19:N19)</f>
        <v>48000</v>
      </c>
    </row>
    <row r="20" customFormat="false" ht="15" hidden="false" customHeight="false" outlineLevel="0" collapsed="false">
      <c r="B20" s="8" t="s">
        <v>116</v>
      </c>
      <c r="C20" s="22" t="n">
        <f aca="false">'1_关键假设'!$C$18</f>
        <v>300</v>
      </c>
      <c r="D20" s="22" t="n">
        <f aca="false">'1_关键假设'!$C$18</f>
        <v>300</v>
      </c>
      <c r="E20" s="22" t="n">
        <f aca="false">'1_关键假设'!$C$18</f>
        <v>300</v>
      </c>
      <c r="F20" s="22" t="n">
        <f aca="false">'1_关键假设'!$C$18</f>
        <v>300</v>
      </c>
      <c r="G20" s="22" t="n">
        <f aca="false">'1_关键假设'!$C$18</f>
        <v>300</v>
      </c>
      <c r="H20" s="22" t="n">
        <f aca="false">'1_关键假设'!$C$18</f>
        <v>300</v>
      </c>
      <c r="I20" s="22" t="n">
        <f aca="false">'1_关键假设'!$C$18</f>
        <v>300</v>
      </c>
      <c r="J20" s="22" t="n">
        <f aca="false">'1_关键假设'!$C$18</f>
        <v>300</v>
      </c>
      <c r="K20" s="22" t="n">
        <f aca="false">'1_关键假设'!$C$18</f>
        <v>300</v>
      </c>
      <c r="L20" s="22" t="n">
        <f aca="false">'1_关键假设'!$C$18</f>
        <v>300</v>
      </c>
      <c r="M20" s="22" t="n">
        <f aca="false">'1_关键假设'!$C$18</f>
        <v>300</v>
      </c>
      <c r="N20" s="22" t="n">
        <f aca="false">'1_关键假设'!$C$18</f>
        <v>300</v>
      </c>
      <c r="O20" s="22" t="n">
        <f aca="false">SUM(C20:N20)</f>
        <v>3600</v>
      </c>
    </row>
    <row r="21" customFormat="false" ht="15" hidden="false" customHeight="false" outlineLevel="0" collapsed="false">
      <c r="B21" s="8" t="s">
        <v>117</v>
      </c>
      <c r="C21" s="22" t="n">
        <f aca="false">'1_关键假设'!$C$19</f>
        <v>300</v>
      </c>
      <c r="D21" s="22" t="n">
        <f aca="false">'1_关键假设'!$C$19</f>
        <v>300</v>
      </c>
      <c r="E21" s="22" t="n">
        <f aca="false">'1_关键假设'!$C$19</f>
        <v>300</v>
      </c>
      <c r="F21" s="22" t="n">
        <f aca="false">'1_关键假设'!$C$19</f>
        <v>300</v>
      </c>
      <c r="G21" s="22" t="n">
        <f aca="false">'1_关键假设'!$C$19</f>
        <v>300</v>
      </c>
      <c r="H21" s="22" t="n">
        <f aca="false">'1_关键假设'!$C$19</f>
        <v>300</v>
      </c>
      <c r="I21" s="22" t="n">
        <f aca="false">'1_关键假设'!$C$19</f>
        <v>300</v>
      </c>
      <c r="J21" s="22" t="n">
        <f aca="false">'1_关键假设'!$C$19</f>
        <v>300</v>
      </c>
      <c r="K21" s="22" t="n">
        <f aca="false">'1_关键假设'!$C$19</f>
        <v>300</v>
      </c>
      <c r="L21" s="22" t="n">
        <f aca="false">'1_关键假设'!$C$19</f>
        <v>300</v>
      </c>
      <c r="M21" s="22" t="n">
        <f aca="false">'1_关键假设'!$C$19</f>
        <v>300</v>
      </c>
      <c r="N21" s="22" t="n">
        <f aca="false">'1_关键假设'!$C$19</f>
        <v>300</v>
      </c>
      <c r="O21" s="22" t="n">
        <f aca="false">SUM(C21:N21)</f>
        <v>3600</v>
      </c>
    </row>
    <row r="22" customFormat="false" ht="15" hidden="false" customHeight="false" outlineLevel="0" collapsed="false">
      <c r="B22" s="8" t="s">
        <v>118</v>
      </c>
      <c r="C22" s="22" t="n">
        <f aca="false">SUM(C16:C21)</f>
        <v>16050</v>
      </c>
      <c r="D22" s="22" t="n">
        <f aca="false">SUM(D16:D21)</f>
        <v>16050</v>
      </c>
      <c r="E22" s="22" t="n">
        <f aca="false">SUM(E16:E21)</f>
        <v>16050</v>
      </c>
      <c r="F22" s="22" t="n">
        <f aca="false">SUM(F16:F21)</f>
        <v>16050</v>
      </c>
      <c r="G22" s="22" t="n">
        <f aca="false">SUM(G16:G21)</f>
        <v>16050</v>
      </c>
      <c r="H22" s="22" t="n">
        <f aca="false">SUM(H16:H21)</f>
        <v>16050</v>
      </c>
      <c r="I22" s="22" t="n">
        <f aca="false">SUM(I16:I21)</f>
        <v>16050</v>
      </c>
      <c r="J22" s="22" t="n">
        <f aca="false">SUM(J16:J21)</f>
        <v>16050</v>
      </c>
      <c r="K22" s="22" t="n">
        <f aca="false">SUM(K16:K21)</f>
        <v>16050</v>
      </c>
      <c r="L22" s="22" t="n">
        <f aca="false">SUM(L16:L21)</f>
        <v>16050</v>
      </c>
      <c r="M22" s="22" t="n">
        <f aca="false">SUM(M16:M21)</f>
        <v>16050</v>
      </c>
      <c r="N22" s="22" t="n">
        <f aca="false">SUM(N16:N21)</f>
        <v>16050</v>
      </c>
      <c r="O22" s="22" t="n">
        <f aca="false">SUM(C22:N22)</f>
        <v>192600</v>
      </c>
    </row>
    <row r="24" customFormat="false" ht="15" hidden="false" customHeight="false" outlineLevel="0" collapsed="false">
      <c r="B24" s="25" t="s">
        <v>119</v>
      </c>
      <c r="C24" s="27" t="n">
        <f aca="false">C13-C22</f>
        <v>-5025</v>
      </c>
      <c r="D24" s="27" t="n">
        <f aca="false">D13-D22</f>
        <v>6000</v>
      </c>
      <c r="E24" s="27" t="n">
        <f aca="false">E13-E22</f>
        <v>17025</v>
      </c>
      <c r="F24" s="27" t="n">
        <f aca="false">F13-F22</f>
        <v>28050</v>
      </c>
      <c r="G24" s="27" t="n">
        <f aca="false">G13-G22</f>
        <v>39075</v>
      </c>
      <c r="H24" s="27" t="n">
        <f aca="false">H13-H22</f>
        <v>44587.5</v>
      </c>
      <c r="I24" s="27" t="n">
        <f aca="false">I13-I22</f>
        <v>47343.75</v>
      </c>
      <c r="J24" s="27" t="n">
        <f aca="false">J13-J22</f>
        <v>50100</v>
      </c>
      <c r="K24" s="27" t="n">
        <f aca="false">K13-K22</f>
        <v>52856.25</v>
      </c>
      <c r="L24" s="27" t="n">
        <f aca="false">L13-L22</f>
        <v>61125</v>
      </c>
      <c r="M24" s="27" t="n">
        <f aca="false">M13-M22</f>
        <v>69393.75</v>
      </c>
      <c r="N24" s="27" t="n">
        <f aca="false">N13-N22</f>
        <v>61125</v>
      </c>
      <c r="O24" s="27" t="n">
        <f aca="false">SUM(C24:N24)</f>
        <v>471656.25</v>
      </c>
    </row>
    <row r="25" customFormat="false" ht="15" hidden="false" customHeight="false" outlineLevel="0" collapsed="false">
      <c r="B25" s="8" t="s">
        <v>120</v>
      </c>
      <c r="C25" s="28" t="n">
        <f aca="false">IFERROR(C24/C7,0)</f>
        <v>-0.239285714285714</v>
      </c>
      <c r="D25" s="28" t="n">
        <f aca="false">IFERROR(D24/D7,0)</f>
        <v>0.142857142857143</v>
      </c>
      <c r="E25" s="28" t="n">
        <f aca="false">IFERROR(E24/E7,0)</f>
        <v>0.270238095238095</v>
      </c>
      <c r="F25" s="28" t="n">
        <f aca="false">IFERROR(F24/F7,0)</f>
        <v>0.333928571428571</v>
      </c>
      <c r="G25" s="28" t="n">
        <f aca="false">IFERROR(G24/G7,0)</f>
        <v>0.372142857142857</v>
      </c>
      <c r="H25" s="28" t="n">
        <f aca="false">IFERROR(H24/H7,0)</f>
        <v>0.386038961038961</v>
      </c>
      <c r="I25" s="28" t="n">
        <f aca="false">IFERROR(I24/I7,0)</f>
        <v>0.392080745341615</v>
      </c>
      <c r="J25" s="28" t="n">
        <f aca="false">IFERROR(J24/J7,0)</f>
        <v>0.397619047619048</v>
      </c>
      <c r="K25" s="28" t="n">
        <f aca="false">IFERROR(K24/K7,0)</f>
        <v>0.402714285714286</v>
      </c>
      <c r="L25" s="28" t="n">
        <f aca="false">IFERROR(L24/L7,0)</f>
        <v>0.415816326530612</v>
      </c>
      <c r="M25" s="28" t="n">
        <f aca="false">IFERROR(M24/M7,0)</f>
        <v>0.426382488479263</v>
      </c>
      <c r="N25" s="28" t="n">
        <f aca="false">IFERROR(N24/N7,0)</f>
        <v>0.415816326530612</v>
      </c>
      <c r="O25" s="28" t="n">
        <f aca="false">IFERROR(O24/O7,0)</f>
        <v>0.372777119146414</v>
      </c>
    </row>
    <row r="26" customFormat="false" ht="15" hidden="false" customHeight="false" outlineLevel="0" collapsed="false">
      <c r="B26" s="8" t="s">
        <v>121</v>
      </c>
      <c r="C26" s="22" t="n">
        <f aca="false">C24-'1_关键假设'!$C$34</f>
        <v>-95025</v>
      </c>
      <c r="D26" s="22" t="n">
        <f aca="false">C26+D24</f>
        <v>-89025</v>
      </c>
      <c r="E26" s="22" t="n">
        <f aca="false">D26+E24</f>
        <v>-72000</v>
      </c>
      <c r="F26" s="22" t="n">
        <f aca="false">E26+F24</f>
        <v>-43950</v>
      </c>
      <c r="G26" s="22" t="n">
        <f aca="false">F26+G24</f>
        <v>-4875</v>
      </c>
      <c r="H26" s="22" t="n">
        <f aca="false">G26+H24</f>
        <v>39712.5</v>
      </c>
      <c r="I26" s="22" t="n">
        <f aca="false">H26+I24</f>
        <v>87056.25</v>
      </c>
      <c r="J26" s="22" t="n">
        <f aca="false">I26+J24</f>
        <v>137156.25</v>
      </c>
      <c r="K26" s="22" t="n">
        <f aca="false">J26+K24</f>
        <v>190012.5</v>
      </c>
      <c r="L26" s="22" t="n">
        <f aca="false">K26+L24</f>
        <v>251137.5</v>
      </c>
      <c r="M26" s="22" t="n">
        <f aca="false">L26+M24</f>
        <v>320531.25</v>
      </c>
      <c r="N26" s="22" t="n">
        <f aca="false">M26+N24</f>
        <v>381656.25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5.47"/>
    <col collapsed="false" customWidth="true" hidden="false" outlineLevel="0" max="5" min="3" style="0" width="14.56"/>
    <col collapsed="false" customWidth="true" hidden="false" outlineLevel="0" max="6" min="6" style="0" width="34.57"/>
  </cols>
  <sheetData>
    <row r="2" customFormat="false" ht="19.7" hidden="false" customHeight="false" outlineLevel="0" collapsed="false">
      <c r="B2" s="1" t="s">
        <v>122</v>
      </c>
    </row>
    <row r="4" customFormat="false" ht="15" hidden="false" customHeight="false" outlineLevel="0" collapsed="false">
      <c r="B4" s="6" t="s">
        <v>28</v>
      </c>
      <c r="C4" s="15" t="s">
        <v>123</v>
      </c>
      <c r="D4" s="15" t="s">
        <v>124</v>
      </c>
      <c r="E4" s="15" t="s">
        <v>125</v>
      </c>
      <c r="F4" s="6" t="s">
        <v>91</v>
      </c>
    </row>
    <row r="5" customFormat="false" ht="16.4" hidden="false" customHeight="false" outlineLevel="0" collapsed="false">
      <c r="B5" s="8" t="s">
        <v>126</v>
      </c>
      <c r="C5" s="11" t="n">
        <v>1</v>
      </c>
      <c r="D5" s="11" t="n">
        <v>3</v>
      </c>
      <c r="E5" s="11" t="n">
        <v>5</v>
      </c>
      <c r="F5" s="17" t="s">
        <v>127</v>
      </c>
    </row>
    <row r="6" customFormat="false" ht="16.4" hidden="false" customHeight="false" outlineLevel="0" collapsed="false">
      <c r="B6" s="8" t="s">
        <v>128</v>
      </c>
      <c r="C6" s="22" t="n">
        <f aca="false">'3_月度损益_单仓'!H7</f>
        <v>115500</v>
      </c>
      <c r="D6" s="22" t="n">
        <f aca="false">'3_月度损益_单仓'!H7*1.05</f>
        <v>121275</v>
      </c>
      <c r="E6" s="22" t="n">
        <f aca="false">'3_月度损益_单仓'!H7*1.1</f>
        <v>127050</v>
      </c>
      <c r="F6" s="17" t="s">
        <v>129</v>
      </c>
    </row>
    <row r="7" customFormat="false" ht="16.4" hidden="false" customHeight="false" outlineLevel="0" collapsed="false">
      <c r="B7" s="8" t="s">
        <v>130</v>
      </c>
      <c r="C7" s="22" t="n">
        <f aca="false">C5*C6*12</f>
        <v>1386000</v>
      </c>
      <c r="D7" s="22" t="n">
        <f aca="false">D5*D6*12</f>
        <v>4365900</v>
      </c>
      <c r="E7" s="22" t="n">
        <f aca="false">E5*E6*12</f>
        <v>7623000</v>
      </c>
      <c r="F7" s="8"/>
    </row>
    <row r="8" customFormat="false" ht="16.4" hidden="false" customHeight="false" outlineLevel="0" collapsed="false">
      <c r="B8" s="8" t="s">
        <v>131</v>
      </c>
      <c r="C8" s="11" t="n">
        <v>0</v>
      </c>
      <c r="D8" s="11" t="n">
        <v>100000</v>
      </c>
      <c r="E8" s="11" t="n">
        <v>250000</v>
      </c>
      <c r="F8" s="17" t="s">
        <v>132</v>
      </c>
    </row>
    <row r="9" customFormat="false" ht="16.4" hidden="false" customHeight="false" outlineLevel="0" collapsed="false">
      <c r="B9" s="8" t="s">
        <v>133</v>
      </c>
      <c r="C9" s="11" t="n">
        <v>0</v>
      </c>
      <c r="D9" s="11" t="n">
        <v>100000</v>
      </c>
      <c r="E9" s="11" t="n">
        <v>350000</v>
      </c>
      <c r="F9" s="8" t="s">
        <v>134</v>
      </c>
    </row>
    <row r="10" customFormat="false" ht="16.4" hidden="false" customHeight="false" outlineLevel="0" collapsed="false">
      <c r="B10" s="17" t="s">
        <v>135</v>
      </c>
      <c r="C10" s="11" t="n">
        <v>0</v>
      </c>
      <c r="D10" s="11" t="n">
        <v>30000</v>
      </c>
      <c r="E10" s="11" t="n">
        <v>120000</v>
      </c>
      <c r="F10" s="17" t="s">
        <v>136</v>
      </c>
    </row>
    <row r="11" customFormat="false" ht="16.4" hidden="false" customHeight="false" outlineLevel="0" collapsed="false">
      <c r="B11" s="25" t="s">
        <v>137</v>
      </c>
      <c r="C11" s="22" t="n">
        <f aca="false">C7+C8*12+C9*12+C10*12</f>
        <v>1386000</v>
      </c>
      <c r="D11" s="22" t="n">
        <f aca="false">D7+D8*12+D9*12+D10*12</f>
        <v>7125900</v>
      </c>
      <c r="E11" s="22" t="n">
        <f aca="false">E7+E8*12+E9*12+E10*12</f>
        <v>16263000</v>
      </c>
      <c r="F11" s="8"/>
    </row>
    <row r="12" customFormat="false" ht="16.4" hidden="false" customHeight="false" outlineLevel="0" collapsed="false">
      <c r="B12" s="8" t="s">
        <v>138</v>
      </c>
      <c r="C12" s="14" t="n">
        <v>0.18</v>
      </c>
      <c r="D12" s="14" t="n">
        <v>0.26</v>
      </c>
      <c r="E12" s="14" t="n">
        <v>0.31</v>
      </c>
      <c r="F12" s="17" t="s">
        <v>139</v>
      </c>
    </row>
    <row r="13" customFormat="false" ht="15" hidden="false" customHeight="false" outlineLevel="0" collapsed="false">
      <c r="B13" s="25" t="s">
        <v>140</v>
      </c>
      <c r="C13" s="22" t="n">
        <f aca="false">C11*C12</f>
        <v>249480</v>
      </c>
      <c r="D13" s="22" t="n">
        <f aca="false">D11*D12</f>
        <v>1852734</v>
      </c>
      <c r="E13" s="22" t="n">
        <f aca="false">E11*E12</f>
        <v>5041530</v>
      </c>
      <c r="F13" s="8"/>
    </row>
    <row r="14" customFormat="false" ht="15" hidden="false" customHeight="false" outlineLevel="0" collapsed="false">
      <c r="B14" s="25" t="s">
        <v>141</v>
      </c>
      <c r="C14" s="19" t="n">
        <f aca="false">C13</f>
        <v>249480</v>
      </c>
      <c r="D14" s="19" t="n">
        <f aca="false">C14+D13</f>
        <v>2102214</v>
      </c>
      <c r="E14" s="19" t="n">
        <f aca="false">D14+E13</f>
        <v>7143744</v>
      </c>
      <c r="F14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1.84"/>
    <col collapsed="false" customWidth="true" hidden="false" outlineLevel="0" max="11" min="3" style="0" width="11.83"/>
  </cols>
  <sheetData>
    <row r="2" customFormat="false" ht="22.35" hidden="false" customHeight="false" outlineLevel="0" collapsed="false">
      <c r="B2" s="1" t="s">
        <v>142</v>
      </c>
    </row>
    <row r="3" customFormat="false" ht="16.4" hidden="false" customHeight="false" outlineLevel="0" collapsed="false">
      <c r="B3" s="0" t="s">
        <v>143</v>
      </c>
    </row>
    <row r="5" customFormat="false" ht="16.4" hidden="false" customHeight="false" outlineLevel="0" collapsed="false">
      <c r="B5" s="6" t="s">
        <v>144</v>
      </c>
      <c r="C5" s="15" t="s">
        <v>145</v>
      </c>
      <c r="D5" s="15" t="s">
        <v>146</v>
      </c>
      <c r="E5" s="15" t="s">
        <v>147</v>
      </c>
      <c r="F5" s="15" t="s">
        <v>148</v>
      </c>
      <c r="G5" s="15" t="s">
        <v>149</v>
      </c>
      <c r="H5" s="15" t="s">
        <v>150</v>
      </c>
      <c r="I5" s="15" t="s">
        <v>151</v>
      </c>
      <c r="J5" s="15" t="s">
        <v>152</v>
      </c>
    </row>
    <row r="6" customFormat="false" ht="16.4" hidden="false" customHeight="false" outlineLevel="0" collapsed="false">
      <c r="B6" s="15" t="s">
        <v>153</v>
      </c>
      <c r="C6" s="22" t="n">
        <f aca="false">20*'1_关键假设'!$C$8*50*(1-'1_关键假设'!$C$9-'1_关键假设'!$C$10-'1_关键假设'!$C$11-'1_关键假设'!$C$12)-SUM('1_关键假设'!$C$14:$C$19)</f>
        <v>-300</v>
      </c>
      <c r="D6" s="22" t="n">
        <f aca="false">20*'1_关键假设'!$C$8*60*(1-'1_关键假设'!$C$9-'1_关键假设'!$C$10-'1_关键假设'!$C$11-'1_关键假设'!$C$12)-SUM('1_关键假设'!$C$14:$C$19)</f>
        <v>2850</v>
      </c>
      <c r="E6" s="22" t="n">
        <f aca="false">20*'1_关键假设'!$C$8*70*(1-'1_关键假设'!$C$9-'1_关键假设'!$C$10-'1_关键假设'!$C$11-'1_关键假设'!$C$12)-SUM('1_关键假设'!$C$14:$C$19)</f>
        <v>6000</v>
      </c>
      <c r="F6" s="22" t="n">
        <f aca="false">20*'1_关键假设'!$C$8*80*(1-'1_关键假设'!$C$9-'1_关键假设'!$C$10-'1_关键假设'!$C$11-'1_关键假设'!$C$12)-SUM('1_关键假设'!$C$14:$C$19)</f>
        <v>9150</v>
      </c>
      <c r="G6" s="22" t="n">
        <f aca="false">20*'1_关键假设'!$C$8*90*(1-'1_关键假设'!$C$9-'1_关键假设'!$C$10-'1_关键假设'!$C$11-'1_关键假设'!$C$12)-SUM('1_关键假设'!$C$14:$C$19)</f>
        <v>12300</v>
      </c>
      <c r="H6" s="22" t="n">
        <f aca="false">20*'1_关键假设'!$C$8*100*(1-'1_关键假设'!$C$9-'1_关键假设'!$C$10-'1_关键假设'!$C$11-'1_关键假设'!$C$12)-SUM('1_关键假设'!$C$14:$C$19)</f>
        <v>15450</v>
      </c>
      <c r="I6" s="22" t="n">
        <f aca="false">20*'1_关键假设'!$C$8*120*(1-'1_关键假设'!$C$9-'1_关键假设'!$C$10-'1_关键假设'!$C$11-'1_关键假设'!$C$12)-SUM('1_关键假设'!$C$14:$C$19)</f>
        <v>21750</v>
      </c>
      <c r="J6" s="22" t="n">
        <f aca="false">20*'1_关键假设'!$C$8*150*(1-'1_关键假设'!$C$9-'1_关键假设'!$C$10-'1_关键假设'!$C$11-'1_关键假设'!$C$12)-SUM('1_关键假设'!$C$14:$C$19)</f>
        <v>31200</v>
      </c>
    </row>
    <row r="7" customFormat="false" ht="16.4" hidden="false" customHeight="false" outlineLevel="0" collapsed="false">
      <c r="B7" s="15" t="s">
        <v>154</v>
      </c>
      <c r="C7" s="22" t="n">
        <f aca="false">30*'1_关键假设'!$C$8*50*(1-'1_关键假设'!$C$9-'1_关键假设'!$C$10-'1_关键假设'!$C$11-'1_关键假设'!$C$12)-SUM('1_关键假设'!$C$14:$C$19)</f>
        <v>7575</v>
      </c>
      <c r="D7" s="22" t="n">
        <f aca="false">30*'1_关键假设'!$C$8*60*(1-'1_关键假设'!$C$9-'1_关键假设'!$C$10-'1_关键假设'!$C$11-'1_关键假设'!$C$12)-SUM('1_关键假设'!$C$14:$C$19)</f>
        <v>12300</v>
      </c>
      <c r="E7" s="22" t="n">
        <f aca="false">30*'1_关键假设'!$C$8*70*(1-'1_关键假设'!$C$9-'1_关键假设'!$C$10-'1_关键假设'!$C$11-'1_关键假设'!$C$12)-SUM('1_关键假设'!$C$14:$C$19)</f>
        <v>17025</v>
      </c>
      <c r="F7" s="22" t="n">
        <f aca="false">30*'1_关键假设'!$C$8*80*(1-'1_关键假设'!$C$9-'1_关键假设'!$C$10-'1_关键假设'!$C$11-'1_关键假设'!$C$12)-SUM('1_关键假设'!$C$14:$C$19)</f>
        <v>21750</v>
      </c>
      <c r="G7" s="22" t="n">
        <f aca="false">30*'1_关键假设'!$C$8*90*(1-'1_关键假设'!$C$9-'1_关键假设'!$C$10-'1_关键假设'!$C$11-'1_关键假设'!$C$12)-SUM('1_关键假设'!$C$14:$C$19)</f>
        <v>26475</v>
      </c>
      <c r="H7" s="22" t="n">
        <f aca="false">30*'1_关键假设'!$C$8*100*(1-'1_关键假设'!$C$9-'1_关键假设'!$C$10-'1_关键假设'!$C$11-'1_关键假设'!$C$12)-SUM('1_关键假设'!$C$14:$C$19)</f>
        <v>31200</v>
      </c>
      <c r="I7" s="22" t="n">
        <f aca="false">30*'1_关键假设'!$C$8*120*(1-'1_关键假设'!$C$9-'1_关键假设'!$C$10-'1_关键假设'!$C$11-'1_关键假设'!$C$12)-SUM('1_关键假设'!$C$14:$C$19)</f>
        <v>40650</v>
      </c>
      <c r="J7" s="22" t="n">
        <f aca="false">30*'1_关键假设'!$C$8*150*(1-'1_关键假设'!$C$9-'1_关键假设'!$C$10-'1_关键假设'!$C$11-'1_关键假设'!$C$12)-SUM('1_关键假设'!$C$14:$C$19)</f>
        <v>54825</v>
      </c>
    </row>
    <row r="8" customFormat="false" ht="16.4" hidden="false" customHeight="false" outlineLevel="0" collapsed="false">
      <c r="B8" s="15" t="s">
        <v>155</v>
      </c>
      <c r="C8" s="22" t="n">
        <f aca="false">40*'1_关键假设'!$C$8*50*(1-'1_关键假设'!$C$9-'1_关键假设'!$C$10-'1_关键假设'!$C$11-'1_关键假设'!$C$12)-SUM('1_关键假设'!$C$14:$C$19)</f>
        <v>15450</v>
      </c>
      <c r="D8" s="22" t="n">
        <f aca="false">40*'1_关键假设'!$C$8*60*(1-'1_关键假设'!$C$9-'1_关键假设'!$C$10-'1_关键假设'!$C$11-'1_关键假设'!$C$12)-SUM('1_关键假设'!$C$14:$C$19)</f>
        <v>21750</v>
      </c>
      <c r="E8" s="22" t="n">
        <f aca="false">40*'1_关键假设'!$C$8*70*(1-'1_关键假设'!$C$9-'1_关键假设'!$C$10-'1_关键假设'!$C$11-'1_关键假设'!$C$12)-SUM('1_关键假设'!$C$14:$C$19)</f>
        <v>28050</v>
      </c>
      <c r="F8" s="22" t="n">
        <f aca="false">40*'1_关键假设'!$C$8*80*(1-'1_关键假设'!$C$9-'1_关键假设'!$C$10-'1_关键假设'!$C$11-'1_关键假设'!$C$12)-SUM('1_关键假设'!$C$14:$C$19)</f>
        <v>34350</v>
      </c>
      <c r="G8" s="22" t="n">
        <f aca="false">40*'1_关键假设'!$C$8*90*(1-'1_关键假设'!$C$9-'1_关键假设'!$C$10-'1_关键假设'!$C$11-'1_关键假设'!$C$12)-SUM('1_关键假设'!$C$14:$C$19)</f>
        <v>40650</v>
      </c>
      <c r="H8" s="22" t="n">
        <f aca="false">40*'1_关键假设'!$C$8*100*(1-'1_关键假设'!$C$9-'1_关键假设'!$C$10-'1_关键假设'!$C$11-'1_关键假设'!$C$12)-SUM('1_关键假设'!$C$14:$C$19)</f>
        <v>46950</v>
      </c>
      <c r="I8" s="22" t="n">
        <f aca="false">40*'1_关键假设'!$C$8*120*(1-'1_关键假设'!$C$9-'1_关键假设'!$C$10-'1_关键假设'!$C$11-'1_关键假设'!$C$12)-SUM('1_关键假设'!$C$14:$C$19)</f>
        <v>59550</v>
      </c>
      <c r="J8" s="22" t="n">
        <f aca="false">40*'1_关键假设'!$C$8*150*(1-'1_关键假设'!$C$9-'1_关键假设'!$C$10-'1_关键假设'!$C$11-'1_关键假设'!$C$12)-SUM('1_关键假设'!$C$14:$C$19)</f>
        <v>78450</v>
      </c>
    </row>
    <row r="9" customFormat="false" ht="16.4" hidden="false" customHeight="false" outlineLevel="0" collapsed="false">
      <c r="B9" s="15" t="s">
        <v>156</v>
      </c>
      <c r="C9" s="22" t="n">
        <f aca="false">50*'1_关键假设'!$C$8*50*(1-'1_关键假设'!$C$9-'1_关键假设'!$C$10-'1_关键假设'!$C$11-'1_关键假设'!$C$12)-SUM('1_关键假设'!$C$14:$C$19)</f>
        <v>23325</v>
      </c>
      <c r="D9" s="22" t="n">
        <f aca="false">50*'1_关键假设'!$C$8*60*(1-'1_关键假设'!$C$9-'1_关键假设'!$C$10-'1_关键假设'!$C$11-'1_关键假设'!$C$12)-SUM('1_关键假设'!$C$14:$C$19)</f>
        <v>31200</v>
      </c>
      <c r="E9" s="22" t="n">
        <f aca="false">50*'1_关键假设'!$C$8*70*(1-'1_关键假设'!$C$9-'1_关键假设'!$C$10-'1_关键假设'!$C$11-'1_关键假设'!$C$12)-SUM('1_关键假设'!$C$14:$C$19)</f>
        <v>39075</v>
      </c>
      <c r="F9" s="22" t="n">
        <f aca="false">50*'1_关键假设'!$C$8*80*(1-'1_关键假设'!$C$9-'1_关键假设'!$C$10-'1_关键假设'!$C$11-'1_关键假设'!$C$12)-SUM('1_关键假设'!$C$14:$C$19)</f>
        <v>46950</v>
      </c>
      <c r="G9" s="22" t="n">
        <f aca="false">50*'1_关键假设'!$C$8*90*(1-'1_关键假设'!$C$9-'1_关键假设'!$C$10-'1_关键假设'!$C$11-'1_关键假设'!$C$12)-SUM('1_关键假设'!$C$14:$C$19)</f>
        <v>54825</v>
      </c>
      <c r="H9" s="22" t="n">
        <f aca="false">50*'1_关键假设'!$C$8*100*(1-'1_关键假设'!$C$9-'1_关键假设'!$C$10-'1_关键假设'!$C$11-'1_关键假设'!$C$12)-SUM('1_关键假设'!$C$14:$C$19)</f>
        <v>62700</v>
      </c>
      <c r="I9" s="22" t="n">
        <f aca="false">50*'1_关键假设'!$C$8*120*(1-'1_关键假设'!$C$9-'1_关键假设'!$C$10-'1_关键假设'!$C$11-'1_关键假设'!$C$12)-SUM('1_关键假设'!$C$14:$C$19)</f>
        <v>78450</v>
      </c>
      <c r="J9" s="22" t="n">
        <f aca="false">50*'1_关键假设'!$C$8*150*(1-'1_关键假设'!$C$9-'1_关键假设'!$C$10-'1_关键假设'!$C$11-'1_关键假设'!$C$12)-SUM('1_关键假设'!$C$14:$C$19)</f>
        <v>102075</v>
      </c>
    </row>
    <row r="10" customFormat="false" ht="16.4" hidden="false" customHeight="false" outlineLevel="0" collapsed="false">
      <c r="B10" s="15" t="s">
        <v>157</v>
      </c>
      <c r="C10" s="22" t="n">
        <f aca="false">60*'1_关键假设'!$C$8*50*(1-'1_关键假设'!$C$9-'1_关键假设'!$C$10-'1_关键假设'!$C$11-'1_关键假设'!$C$12)-SUM('1_关键假设'!$C$14:$C$19)</f>
        <v>31200</v>
      </c>
      <c r="D10" s="22" t="n">
        <f aca="false">60*'1_关键假设'!$C$8*60*(1-'1_关键假设'!$C$9-'1_关键假设'!$C$10-'1_关键假设'!$C$11-'1_关键假设'!$C$12)-SUM('1_关键假设'!$C$14:$C$19)</f>
        <v>40650</v>
      </c>
      <c r="E10" s="22" t="n">
        <f aca="false">60*'1_关键假设'!$C$8*70*(1-'1_关键假设'!$C$9-'1_关键假设'!$C$10-'1_关键假设'!$C$11-'1_关键假设'!$C$12)-SUM('1_关键假设'!$C$14:$C$19)</f>
        <v>50100</v>
      </c>
      <c r="F10" s="22" t="n">
        <f aca="false">60*'1_关键假设'!$C$8*80*(1-'1_关键假设'!$C$9-'1_关键假设'!$C$10-'1_关键假设'!$C$11-'1_关键假设'!$C$12)-SUM('1_关键假设'!$C$14:$C$19)</f>
        <v>59550</v>
      </c>
      <c r="G10" s="22" t="n">
        <f aca="false">60*'1_关键假设'!$C$8*90*(1-'1_关键假设'!$C$9-'1_关键假设'!$C$10-'1_关键假设'!$C$11-'1_关键假设'!$C$12)-SUM('1_关键假设'!$C$14:$C$19)</f>
        <v>69000</v>
      </c>
      <c r="H10" s="22" t="n">
        <f aca="false">60*'1_关键假设'!$C$8*100*(1-'1_关键假设'!$C$9-'1_关键假设'!$C$10-'1_关键假设'!$C$11-'1_关键假设'!$C$12)-SUM('1_关键假设'!$C$14:$C$19)</f>
        <v>78450</v>
      </c>
      <c r="I10" s="22" t="n">
        <f aca="false">60*'1_关键假设'!$C$8*120*(1-'1_关键假设'!$C$9-'1_关键假设'!$C$10-'1_关键假设'!$C$11-'1_关键假设'!$C$12)-SUM('1_关键假设'!$C$14:$C$19)</f>
        <v>97350</v>
      </c>
      <c r="J10" s="22" t="n">
        <f aca="false">60*'1_关键假设'!$C$8*150*(1-'1_关键假设'!$C$9-'1_关键假设'!$C$10-'1_关键假设'!$C$11-'1_关键假设'!$C$12)-SUM('1_关键假设'!$C$14:$C$19)</f>
        <v>125700</v>
      </c>
    </row>
    <row r="11" customFormat="false" ht="16.4" hidden="false" customHeight="false" outlineLevel="0" collapsed="false">
      <c r="B11" s="15" t="s">
        <v>158</v>
      </c>
      <c r="C11" s="22" t="n">
        <f aca="false">80*'1_关键假设'!$C$8*50*(1-'1_关键假设'!$C$9-'1_关键假设'!$C$10-'1_关键假设'!$C$11-'1_关键假设'!$C$12)-SUM('1_关键假设'!$C$14:$C$19)</f>
        <v>46950</v>
      </c>
      <c r="D11" s="22" t="n">
        <f aca="false">80*'1_关键假设'!$C$8*60*(1-'1_关键假设'!$C$9-'1_关键假设'!$C$10-'1_关键假设'!$C$11-'1_关键假设'!$C$12)-SUM('1_关键假设'!$C$14:$C$19)</f>
        <v>59550</v>
      </c>
      <c r="E11" s="22" t="n">
        <f aca="false">80*'1_关键假设'!$C$8*70*(1-'1_关键假设'!$C$9-'1_关键假设'!$C$10-'1_关键假设'!$C$11-'1_关键假设'!$C$12)-SUM('1_关键假设'!$C$14:$C$19)</f>
        <v>72150</v>
      </c>
      <c r="F11" s="22" t="n">
        <f aca="false">80*'1_关键假设'!$C$8*80*(1-'1_关键假设'!$C$9-'1_关键假设'!$C$10-'1_关键假设'!$C$11-'1_关键假设'!$C$12)-SUM('1_关键假设'!$C$14:$C$19)</f>
        <v>84750</v>
      </c>
      <c r="G11" s="22" t="n">
        <f aca="false">80*'1_关键假设'!$C$8*90*(1-'1_关键假设'!$C$9-'1_关键假设'!$C$10-'1_关键假设'!$C$11-'1_关键假设'!$C$12)-SUM('1_关键假设'!$C$14:$C$19)</f>
        <v>97350</v>
      </c>
      <c r="H11" s="22" t="n">
        <f aca="false">80*'1_关键假设'!$C$8*100*(1-'1_关键假设'!$C$9-'1_关键假设'!$C$10-'1_关键假设'!$C$11-'1_关键假设'!$C$12)-SUM('1_关键假设'!$C$14:$C$19)</f>
        <v>109950</v>
      </c>
      <c r="I11" s="22" t="n">
        <f aca="false">80*'1_关键假设'!$C$8*120*(1-'1_关键假设'!$C$9-'1_关键假设'!$C$10-'1_关键假设'!$C$11-'1_关键假设'!$C$12)-SUM('1_关键假设'!$C$14:$C$19)</f>
        <v>135150</v>
      </c>
      <c r="J11" s="22" t="n">
        <f aca="false">80*'1_关键假设'!$C$8*150*(1-'1_关键假设'!$C$9-'1_关键假设'!$C$10-'1_关键假设'!$C$11-'1_关键假设'!$C$12)-SUM('1_关键假设'!$C$14:$C$19)</f>
        <v>172950</v>
      </c>
    </row>
    <row r="12" customFormat="false" ht="16.4" hidden="false" customHeight="false" outlineLevel="0" collapsed="false">
      <c r="B12" s="15" t="s">
        <v>159</v>
      </c>
      <c r="C12" s="22" t="n">
        <f aca="false">100*'1_关键假设'!$C$8*50*(1-'1_关键假设'!$C$9-'1_关键假设'!$C$10-'1_关键假设'!$C$11-'1_关键假设'!$C$12)-SUM('1_关键假设'!$C$14:$C$19)</f>
        <v>62700</v>
      </c>
      <c r="D12" s="22" t="n">
        <f aca="false">100*'1_关键假设'!$C$8*60*(1-'1_关键假设'!$C$9-'1_关键假设'!$C$10-'1_关键假设'!$C$11-'1_关键假设'!$C$12)-SUM('1_关键假设'!$C$14:$C$19)</f>
        <v>78450</v>
      </c>
      <c r="E12" s="22" t="n">
        <f aca="false">100*'1_关键假设'!$C$8*70*(1-'1_关键假设'!$C$9-'1_关键假设'!$C$10-'1_关键假设'!$C$11-'1_关键假设'!$C$12)-SUM('1_关键假设'!$C$14:$C$19)</f>
        <v>94200</v>
      </c>
      <c r="F12" s="22" t="n">
        <f aca="false">100*'1_关键假设'!$C$8*80*(1-'1_关键假设'!$C$9-'1_关键假设'!$C$10-'1_关键假设'!$C$11-'1_关键假设'!$C$12)-SUM('1_关键假设'!$C$14:$C$19)</f>
        <v>109950</v>
      </c>
      <c r="G12" s="22" t="n">
        <f aca="false">100*'1_关键假设'!$C$8*90*(1-'1_关键假设'!$C$9-'1_关键假设'!$C$10-'1_关键假设'!$C$11-'1_关键假设'!$C$12)-SUM('1_关键假设'!$C$14:$C$19)</f>
        <v>125700</v>
      </c>
      <c r="H12" s="22" t="n">
        <f aca="false">100*'1_关键假设'!$C$8*100*(1-'1_关键假设'!$C$9-'1_关键假设'!$C$10-'1_关键假设'!$C$11-'1_关键假设'!$C$12)-SUM('1_关键假设'!$C$14:$C$19)</f>
        <v>141450</v>
      </c>
      <c r="I12" s="22" t="n">
        <f aca="false">100*'1_关键假设'!$C$8*120*(1-'1_关键假设'!$C$9-'1_关键假设'!$C$10-'1_关键假设'!$C$11-'1_关键假设'!$C$12)-SUM('1_关键假设'!$C$14:$C$19)</f>
        <v>172950</v>
      </c>
      <c r="J12" s="22" t="n">
        <f aca="false">100*'1_关键假设'!$C$8*150*(1-'1_关键假设'!$C$9-'1_关键假设'!$C$10-'1_关键假设'!$C$11-'1_关键假设'!$C$12)-SUM('1_关键假设'!$C$14:$C$19)</f>
        <v>220200</v>
      </c>
    </row>
    <row r="13" customFormat="false" ht="16.4" hidden="false" customHeight="false" outlineLevel="0" collapsed="false">
      <c r="B13" s="15" t="s">
        <v>160</v>
      </c>
      <c r="C13" s="22" t="n">
        <f aca="false">120*'1_关键假设'!$C$8*50*(1-'1_关键假设'!$C$9-'1_关键假设'!$C$10-'1_关键假设'!$C$11-'1_关键假设'!$C$12)-SUM('1_关键假设'!$C$14:$C$19)</f>
        <v>78450</v>
      </c>
      <c r="D13" s="22" t="n">
        <f aca="false">120*'1_关键假设'!$C$8*60*(1-'1_关键假设'!$C$9-'1_关键假设'!$C$10-'1_关键假设'!$C$11-'1_关键假设'!$C$12)-SUM('1_关键假设'!$C$14:$C$19)</f>
        <v>97350</v>
      </c>
      <c r="E13" s="22" t="n">
        <f aca="false">120*'1_关键假设'!$C$8*70*(1-'1_关键假设'!$C$9-'1_关键假设'!$C$10-'1_关键假设'!$C$11-'1_关键假设'!$C$12)-SUM('1_关键假设'!$C$14:$C$19)</f>
        <v>116250</v>
      </c>
      <c r="F13" s="22" t="n">
        <f aca="false">120*'1_关键假设'!$C$8*80*(1-'1_关键假设'!$C$9-'1_关键假设'!$C$10-'1_关键假设'!$C$11-'1_关键假设'!$C$12)-SUM('1_关键假设'!$C$14:$C$19)</f>
        <v>135150</v>
      </c>
      <c r="G13" s="22" t="n">
        <f aca="false">120*'1_关键假设'!$C$8*90*(1-'1_关键假设'!$C$9-'1_关键假设'!$C$10-'1_关键假设'!$C$11-'1_关键假设'!$C$12)-SUM('1_关键假设'!$C$14:$C$19)</f>
        <v>154050</v>
      </c>
      <c r="H13" s="22" t="n">
        <f aca="false">120*'1_关键假设'!$C$8*100*(1-'1_关键假设'!$C$9-'1_关键假设'!$C$10-'1_关键假设'!$C$11-'1_关键假设'!$C$12)-SUM('1_关键假设'!$C$14:$C$19)</f>
        <v>172950</v>
      </c>
      <c r="I13" s="22" t="n">
        <f aca="false">120*'1_关键假设'!$C$8*120*(1-'1_关键假设'!$C$9-'1_关键假设'!$C$10-'1_关键假设'!$C$11-'1_关键假设'!$C$12)-SUM('1_关键假设'!$C$14:$C$19)</f>
        <v>210750</v>
      </c>
      <c r="J13" s="22" t="n">
        <f aca="false">120*'1_关键假设'!$C$8*150*(1-'1_关键假设'!$C$9-'1_关键假设'!$C$10-'1_关键假设'!$C$11-'1_关键假设'!$C$12)-SUM('1_关键假设'!$C$14:$C$19)</f>
        <v>267450</v>
      </c>
    </row>
    <row r="14" customFormat="false" ht="16.4" hidden="false" customHeight="false" outlineLevel="0" collapsed="false">
      <c r="B14" s="15" t="s">
        <v>161</v>
      </c>
      <c r="C14" s="22" t="n">
        <f aca="false">150*'1_关键假设'!$C$8*50*(1-'1_关键假设'!$C$9-'1_关键假设'!$C$10-'1_关键假设'!$C$11-'1_关键假设'!$C$12)-SUM('1_关键假设'!$C$14:$C$19)</f>
        <v>102075</v>
      </c>
      <c r="D14" s="22" t="n">
        <f aca="false">150*'1_关键假设'!$C$8*60*(1-'1_关键假设'!$C$9-'1_关键假设'!$C$10-'1_关键假设'!$C$11-'1_关键假设'!$C$12)-SUM('1_关键假设'!$C$14:$C$19)</f>
        <v>125700</v>
      </c>
      <c r="E14" s="22" t="n">
        <f aca="false">150*'1_关键假设'!$C$8*70*(1-'1_关键假设'!$C$9-'1_关键假设'!$C$10-'1_关键假设'!$C$11-'1_关键假设'!$C$12)-SUM('1_关键假设'!$C$14:$C$19)</f>
        <v>149325</v>
      </c>
      <c r="F14" s="22" t="n">
        <f aca="false">150*'1_关键假设'!$C$8*80*(1-'1_关键假设'!$C$9-'1_关键假设'!$C$10-'1_关键假设'!$C$11-'1_关键假设'!$C$12)-SUM('1_关键假设'!$C$14:$C$19)</f>
        <v>172950</v>
      </c>
      <c r="G14" s="22" t="n">
        <f aca="false">150*'1_关键假设'!$C$8*90*(1-'1_关键假设'!$C$9-'1_关键假设'!$C$10-'1_关键假设'!$C$11-'1_关键假设'!$C$12)-SUM('1_关键假设'!$C$14:$C$19)</f>
        <v>196575</v>
      </c>
      <c r="H14" s="22" t="n">
        <f aca="false">150*'1_关键假设'!$C$8*100*(1-'1_关键假设'!$C$9-'1_关键假设'!$C$10-'1_关键假设'!$C$11-'1_关键假设'!$C$12)-SUM('1_关键假设'!$C$14:$C$19)</f>
        <v>220200</v>
      </c>
      <c r="I14" s="22" t="n">
        <f aca="false">150*'1_关键假设'!$C$8*120*(1-'1_关键假设'!$C$9-'1_关键假设'!$C$10-'1_关键假设'!$C$11-'1_关键假设'!$C$12)-SUM('1_关键假设'!$C$14:$C$19)</f>
        <v>267450</v>
      </c>
      <c r="J14" s="22" t="n">
        <f aca="false">150*'1_关键假设'!$C$8*150*(1-'1_关键假设'!$C$9-'1_关键假设'!$C$10-'1_关键假设'!$C$11-'1_关键假设'!$C$12)-SUM('1_关键假设'!$C$14:$C$19)</f>
        <v>338325</v>
      </c>
    </row>
  </sheetData>
  <conditionalFormatting sqref="C6:J14">
    <cfRule type="colorScale" priority="2">
      <colorScale>
        <cfvo type="min" val="0"/>
        <cfvo type="num" val="0"/>
        <cfvo type="max" val="0"/>
        <color rgb="FFFECACA"/>
        <color rgb="FFFFFFFF"/>
        <color rgb="FF86EFA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1.84"/>
    <col collapsed="false" customWidth="true" hidden="false" outlineLevel="0" max="10" min="3" style="0" width="11.83"/>
  </cols>
  <sheetData>
    <row r="2" customFormat="false" ht="22.35" hidden="false" customHeight="false" outlineLevel="0" collapsed="false">
      <c r="B2" s="1" t="s">
        <v>162</v>
      </c>
    </row>
    <row r="3" customFormat="false" ht="16.4" hidden="false" customHeight="false" outlineLevel="0" collapsed="false">
      <c r="B3" s="0" t="s">
        <v>163</v>
      </c>
    </row>
    <row r="5" customFormat="false" ht="16.4" hidden="false" customHeight="false" outlineLevel="0" collapsed="false">
      <c r="B5" s="6" t="s">
        <v>164</v>
      </c>
      <c r="C5" s="15" t="s">
        <v>165</v>
      </c>
      <c r="D5" s="15" t="s">
        <v>166</v>
      </c>
      <c r="E5" s="15" t="s">
        <v>167</v>
      </c>
      <c r="F5" s="15" t="s">
        <v>168</v>
      </c>
      <c r="G5" s="15" t="s">
        <v>169</v>
      </c>
      <c r="H5" s="15" t="s">
        <v>170</v>
      </c>
    </row>
    <row r="6" customFormat="false" ht="15" hidden="false" customHeight="false" outlineLevel="0" collapsed="false">
      <c r="B6" s="15" t="s">
        <v>171</v>
      </c>
      <c r="C6" s="28" t="n">
        <f aca="false">(50*30*70*(1-0.25-0.04-0.04-0.015)-SUM('1_关键假设'!$C$14:$C$19))/(50*30*70)</f>
        <v>0.502142857142857</v>
      </c>
      <c r="D6" s="28" t="n">
        <f aca="false">(50*30*70*(1-0.25-0.05-0.04-0.015)-SUM('1_关键假设'!$C$14:$C$19))/(50*30*70)</f>
        <v>0.492142857142857</v>
      </c>
      <c r="E6" s="28" t="n">
        <f aca="false">(50*30*70*(1-0.25-0.06-0.04-0.015)-SUM('1_关键假设'!$C$14:$C$19))/(50*30*70)</f>
        <v>0.482142857142857</v>
      </c>
      <c r="F6" s="28" t="n">
        <f aca="false">(50*30*70*(1-0.25-0.07-0.04-0.015)-SUM('1_关键假设'!$C$14:$C$19))/(50*30*70)</f>
        <v>0.472142857142857</v>
      </c>
      <c r="G6" s="28" t="n">
        <f aca="false">(50*30*70*(1-0.25-0.08-0.04-0.015)-SUM('1_关键假设'!$C$14:$C$19))/(50*30*70)</f>
        <v>0.462142857142857</v>
      </c>
      <c r="H6" s="28" t="n">
        <f aca="false">(50*30*70*(1-0.25-0.1-0.04-0.015)-SUM('1_关键假设'!$C$14:$C$19))/(50*30*70)</f>
        <v>0.442142857142857</v>
      </c>
    </row>
    <row r="7" customFormat="false" ht="15" hidden="false" customHeight="false" outlineLevel="0" collapsed="false">
      <c r="B7" s="15" t="s">
        <v>172</v>
      </c>
      <c r="C7" s="28" t="n">
        <f aca="false">(50*30*70*(1-0.3-0.04-0.04-0.015)-SUM('1_关键假设'!$C$14:$C$19))/(50*30*70)</f>
        <v>0.452142857142857</v>
      </c>
      <c r="D7" s="28" t="n">
        <f aca="false">(50*30*70*(1-0.3-0.05-0.04-0.015)-SUM('1_关键假设'!$C$14:$C$19))/(50*30*70)</f>
        <v>0.442142857142857</v>
      </c>
      <c r="E7" s="28" t="n">
        <f aca="false">(50*30*70*(1-0.3-0.06-0.04-0.015)-SUM('1_关键假设'!$C$14:$C$19))/(50*30*70)</f>
        <v>0.432142857142857</v>
      </c>
      <c r="F7" s="28" t="n">
        <f aca="false">(50*30*70*(1-0.3-0.07-0.04-0.015)-SUM('1_关键假设'!$C$14:$C$19))/(50*30*70)</f>
        <v>0.422142857142857</v>
      </c>
      <c r="G7" s="28" t="n">
        <f aca="false">(50*30*70*(1-0.3-0.08-0.04-0.015)-SUM('1_关键假设'!$C$14:$C$19))/(50*30*70)</f>
        <v>0.412142857142857</v>
      </c>
      <c r="H7" s="28" t="n">
        <f aca="false">(50*30*70*(1-0.3-0.1-0.04-0.015)-SUM('1_关键假设'!$C$14:$C$19))/(50*30*70)</f>
        <v>0.392142857142857</v>
      </c>
    </row>
    <row r="8" customFormat="false" ht="15" hidden="false" customHeight="false" outlineLevel="0" collapsed="false">
      <c r="B8" s="15" t="s">
        <v>173</v>
      </c>
      <c r="C8" s="28" t="n">
        <f aca="false">(50*30*70*(1-0.35-0.04-0.04-0.015)-SUM('1_关键假设'!$C$14:$C$19))/(50*30*70)</f>
        <v>0.402142857142857</v>
      </c>
      <c r="D8" s="28" t="n">
        <f aca="false">(50*30*70*(1-0.35-0.05-0.04-0.015)-SUM('1_关键假设'!$C$14:$C$19))/(50*30*70)</f>
        <v>0.392142857142857</v>
      </c>
      <c r="E8" s="28" t="n">
        <f aca="false">(50*30*70*(1-0.35-0.06-0.04-0.015)-SUM('1_关键假设'!$C$14:$C$19))/(50*30*70)</f>
        <v>0.382142857142857</v>
      </c>
      <c r="F8" s="28" t="n">
        <f aca="false">(50*30*70*(1-0.35-0.07-0.04-0.015)-SUM('1_关键假设'!$C$14:$C$19))/(50*30*70)</f>
        <v>0.372142857142857</v>
      </c>
      <c r="G8" s="28" t="n">
        <f aca="false">(50*30*70*(1-0.35-0.08-0.04-0.015)-SUM('1_关键假设'!$C$14:$C$19))/(50*30*70)</f>
        <v>0.362142857142857</v>
      </c>
      <c r="H8" s="28" t="n">
        <f aca="false">(50*30*70*(1-0.35-0.1-0.04-0.015)-SUM('1_关键假设'!$C$14:$C$19))/(50*30*70)</f>
        <v>0.342142857142857</v>
      </c>
    </row>
    <row r="9" customFormat="false" ht="15" hidden="false" customHeight="false" outlineLevel="0" collapsed="false">
      <c r="B9" s="15" t="s">
        <v>174</v>
      </c>
      <c r="C9" s="28" t="n">
        <f aca="false">(50*30*70*(1-0.4-0.04-0.04-0.015)-SUM('1_关键假设'!$C$14:$C$19))/(50*30*70)</f>
        <v>0.352142857142857</v>
      </c>
      <c r="D9" s="28" t="n">
        <f aca="false">(50*30*70*(1-0.4-0.05-0.04-0.015)-SUM('1_关键假设'!$C$14:$C$19))/(50*30*70)</f>
        <v>0.342142857142857</v>
      </c>
      <c r="E9" s="28" t="n">
        <f aca="false">(50*30*70*(1-0.4-0.06-0.04-0.015)-SUM('1_关键假设'!$C$14:$C$19))/(50*30*70)</f>
        <v>0.332142857142857</v>
      </c>
      <c r="F9" s="28" t="n">
        <f aca="false">(50*30*70*(1-0.4-0.07-0.04-0.015)-SUM('1_关键假设'!$C$14:$C$19))/(50*30*70)</f>
        <v>0.322142857142857</v>
      </c>
      <c r="G9" s="28" t="n">
        <f aca="false">(50*30*70*(1-0.4-0.08-0.04-0.015)-SUM('1_关键假设'!$C$14:$C$19))/(50*30*70)</f>
        <v>0.312142857142857</v>
      </c>
      <c r="H9" s="28" t="n">
        <f aca="false">(50*30*70*(1-0.4-0.1-0.04-0.015)-SUM('1_关键假设'!$C$14:$C$19))/(50*30*70)</f>
        <v>0.292142857142857</v>
      </c>
    </row>
    <row r="10" customFormat="false" ht="15" hidden="false" customHeight="false" outlineLevel="0" collapsed="false">
      <c r="B10" s="15" t="s">
        <v>175</v>
      </c>
      <c r="C10" s="28" t="n">
        <f aca="false">(50*30*70*(1-0.45-0.04-0.04-0.015)-SUM('1_关键假设'!$C$14:$C$19))/(50*30*70)</f>
        <v>0.302142857142857</v>
      </c>
      <c r="D10" s="28" t="n">
        <f aca="false">(50*30*70*(1-0.45-0.05-0.04-0.015)-SUM('1_关键假设'!$C$14:$C$19))/(50*30*70)</f>
        <v>0.292142857142857</v>
      </c>
      <c r="E10" s="28" t="n">
        <f aca="false">(50*30*70*(1-0.45-0.06-0.04-0.015)-SUM('1_关键假设'!$C$14:$C$19))/(50*30*70)</f>
        <v>0.282142857142857</v>
      </c>
      <c r="F10" s="28" t="n">
        <f aca="false">(50*30*70*(1-0.45-0.07-0.04-0.015)-SUM('1_关键假设'!$C$14:$C$19))/(50*30*70)</f>
        <v>0.272142857142857</v>
      </c>
      <c r="G10" s="28" t="n">
        <f aca="false">(50*30*70*(1-0.45-0.08-0.04-0.015)-SUM('1_关键假设'!$C$14:$C$19))/(50*30*70)</f>
        <v>0.262142857142857</v>
      </c>
      <c r="H10" s="28" t="n">
        <f aca="false">(50*30*70*(1-0.45-0.1-0.04-0.015)-SUM('1_关键假设'!$C$14:$C$19))/(50*30*70)</f>
        <v>0.242142857142857</v>
      </c>
    </row>
    <row r="11" customFormat="false" ht="15" hidden="false" customHeight="false" outlineLevel="0" collapsed="false">
      <c r="B11" s="15" t="s">
        <v>176</v>
      </c>
      <c r="C11" s="28" t="n">
        <f aca="false">(50*30*70*(1-0.5-0.04-0.04-0.015)-SUM('1_关键假设'!$C$14:$C$19))/(50*30*70)</f>
        <v>0.252142857142857</v>
      </c>
      <c r="D11" s="28" t="n">
        <f aca="false">(50*30*70*(1-0.5-0.05-0.04-0.015)-SUM('1_关键假设'!$C$14:$C$19))/(50*30*70)</f>
        <v>0.242142857142857</v>
      </c>
      <c r="E11" s="28" t="n">
        <f aca="false">(50*30*70*(1-0.5-0.06-0.04-0.015)-SUM('1_关键假设'!$C$14:$C$19))/(50*30*70)</f>
        <v>0.232142857142857</v>
      </c>
      <c r="F11" s="28" t="n">
        <f aca="false">(50*30*70*(1-0.5-0.07-0.04-0.015)-SUM('1_关键假设'!$C$14:$C$19))/(50*30*70)</f>
        <v>0.222142857142857</v>
      </c>
      <c r="G11" s="28" t="n">
        <f aca="false">(50*30*70*(1-0.5-0.08-0.04-0.015)-SUM('1_关键假设'!$C$14:$C$19))/(50*30*70)</f>
        <v>0.212142857142857</v>
      </c>
      <c r="H11" s="28" t="n">
        <f aca="false">(50*30*70*(1-0.5-0.1-0.04-0.015)-SUM('1_关键假设'!$C$14:$C$19))/(50*30*70)</f>
        <v>0.192142857142857</v>
      </c>
    </row>
  </sheetData>
  <conditionalFormatting sqref="C6:H11">
    <cfRule type="colorScale" priority="2">
      <colorScale>
        <cfvo type="min" val="0"/>
        <cfvo type="num" val="0.1"/>
        <cfvo type="max" val="0"/>
        <color rgb="FFFECACA"/>
        <color rgb="FFFFFFFF"/>
        <color rgb="FF86EFA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9.11"/>
    <col collapsed="false" customWidth="true" hidden="false" outlineLevel="0" max="3" min="3" style="0" width="16.38"/>
  </cols>
  <sheetData>
    <row r="2" customFormat="false" ht="19.7" hidden="false" customHeight="false" outlineLevel="0" collapsed="false">
      <c r="B2" s="1" t="s">
        <v>177</v>
      </c>
    </row>
    <row r="5" customFormat="false" ht="16.4" hidden="false" customHeight="false" outlineLevel="0" collapsed="false">
      <c r="B5" s="8" t="s">
        <v>178</v>
      </c>
      <c r="C5" s="22" t="n">
        <f aca="false">SUM('1_关键假设'!$C$14:$C$19)</f>
        <v>16050</v>
      </c>
    </row>
    <row r="6" customFormat="false" ht="16.4" hidden="false" customHeight="false" outlineLevel="0" collapsed="false">
      <c r="B6" s="8" t="s">
        <v>179</v>
      </c>
      <c r="C6" s="28" t="n">
        <f aca="false">1-'1_关键假设'!$C$9-'1_关键假设'!$C$10-'1_关键假设'!$C$11-'1_关键假设'!$C$12</f>
        <v>0.525</v>
      </c>
    </row>
    <row r="7" customFormat="false" ht="16.4" hidden="false" customHeight="false" outlineLevel="0" collapsed="false">
      <c r="B7" s="8" t="s">
        <v>180</v>
      </c>
      <c r="C7" s="22" t="n">
        <f aca="false">C5/C6</f>
        <v>30571.4285714286</v>
      </c>
    </row>
    <row r="8" customFormat="false" ht="15" hidden="false" customHeight="false" outlineLevel="0" collapsed="false">
      <c r="B8" s="8" t="s">
        <v>181</v>
      </c>
      <c r="C8" s="22" t="n">
        <f aca="false">C7/'1_关键假设'!$C$7</f>
        <v>436.734693877551</v>
      </c>
    </row>
    <row r="9" customFormat="false" ht="15" hidden="false" customHeight="false" outlineLevel="0" collapsed="false">
      <c r="B9" s="25" t="s">
        <v>182</v>
      </c>
      <c r="C9" s="29" t="n">
        <f aca="false">C8/'1_关键假设'!$C$8</f>
        <v>14.5578231292517</v>
      </c>
    </row>
    <row r="10" customFormat="false" ht="15" hidden="false" customHeight="false" outlineLevel="0" collapsed="false">
      <c r="B10" s="8" t="s">
        <v>183</v>
      </c>
      <c r="C10" s="21" t="n">
        <f aca="false">'1_关键假设'!$C$6</f>
        <v>50</v>
      </c>
    </row>
    <row r="11" customFormat="false" ht="15" hidden="false" customHeight="false" outlineLevel="0" collapsed="false">
      <c r="B11" s="8" t="s">
        <v>184</v>
      </c>
      <c r="C11" s="21" t="n">
        <f aca="false">C10-C9</f>
        <v>35.4421768707483</v>
      </c>
    </row>
    <row r="14" customFormat="false" ht="15" hidden="false" customHeight="false" outlineLevel="0" collapsed="false">
      <c r="B14" s="5" t="s">
        <v>185</v>
      </c>
    </row>
    <row r="15" customFormat="false" ht="16.4" hidden="false" customHeight="false" outlineLevel="0" collapsed="false">
      <c r="B15" s="0" t="s">
        <v>186</v>
      </c>
    </row>
    <row r="16" customFormat="false" ht="16.4" hidden="false" customHeight="false" outlineLevel="0" collapsed="false">
      <c r="B16" s="0" t="s">
        <v>187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9453125" defaultRowHeight="15" customHeight="false" zeroHeight="false" outlineLevelRow="0" outlineLevelCol="0"/>
  <cols>
    <col collapsed="false" customWidth="true" hidden="false" outlineLevel="0" max="1" min="1" style="0" width="3.64"/>
    <col collapsed="false" customWidth="true" hidden="false" outlineLevel="0" max="2" min="2" style="0" width="20.01"/>
    <col collapsed="false" customWidth="true" hidden="false" outlineLevel="0" max="11" min="3" style="0" width="11.83"/>
  </cols>
  <sheetData>
    <row r="2" customFormat="false" ht="22.35" hidden="false" customHeight="false" outlineLevel="0" collapsed="false">
      <c r="B2" s="30" t="s">
        <v>188</v>
      </c>
    </row>
    <row r="3" customFormat="false" ht="16.4" hidden="false" customHeight="false" outlineLevel="0" collapsed="false">
      <c r="B3" s="0" t="s">
        <v>189</v>
      </c>
    </row>
    <row r="5" customFormat="false" ht="16.4" hidden="false" customHeight="false" outlineLevel="0" collapsed="false">
      <c r="B5" s="6" t="s">
        <v>190</v>
      </c>
      <c r="C5" s="15" t="s">
        <v>191</v>
      </c>
      <c r="D5" s="15" t="s">
        <v>192</v>
      </c>
      <c r="E5" s="15" t="s">
        <v>193</v>
      </c>
      <c r="F5" s="15" t="s">
        <v>194</v>
      </c>
      <c r="G5" s="15" t="s">
        <v>195</v>
      </c>
      <c r="H5" s="15" t="s">
        <v>196</v>
      </c>
      <c r="I5" s="15" t="s">
        <v>197</v>
      </c>
      <c r="J5" s="15" t="s">
        <v>198</v>
      </c>
    </row>
    <row r="6" customFormat="false" ht="16.4" hidden="false" customHeight="false" outlineLevel="0" collapsed="false">
      <c r="B6" s="8" t="s">
        <v>199</v>
      </c>
      <c r="C6" s="11" t="n">
        <v>130000</v>
      </c>
      <c r="D6" s="14" t="n">
        <v>0.32</v>
      </c>
      <c r="E6" s="22" t="n">
        <f aca="false">C6*D6</f>
        <v>41600</v>
      </c>
      <c r="F6" s="22" t="n">
        <f aca="false">E6*12</f>
        <v>499200</v>
      </c>
      <c r="G6" s="11" t="n">
        <v>145000</v>
      </c>
      <c r="H6" s="14" t="n">
        <v>0.36</v>
      </c>
      <c r="I6" s="22" t="n">
        <f aca="false">G6*H6</f>
        <v>52200</v>
      </c>
      <c r="J6" s="22" t="n">
        <f aca="false">I6*12</f>
        <v>626400</v>
      </c>
    </row>
    <row r="7" customFormat="false" ht="16.4" hidden="false" customHeight="false" outlineLevel="0" collapsed="false">
      <c r="B7" s="8" t="s">
        <v>200</v>
      </c>
      <c r="C7" s="11" t="n">
        <v>110000</v>
      </c>
      <c r="D7" s="14" t="n">
        <v>0.28</v>
      </c>
      <c r="E7" s="22" t="n">
        <f aca="false">C7*D7</f>
        <v>30800</v>
      </c>
      <c r="F7" s="22" t="n">
        <f aca="false">E7*12</f>
        <v>369600</v>
      </c>
      <c r="G7" s="11" t="n">
        <v>130000</v>
      </c>
      <c r="H7" s="14" t="n">
        <v>0.34</v>
      </c>
      <c r="I7" s="22" t="n">
        <f aca="false">G7*H7</f>
        <v>44200</v>
      </c>
      <c r="J7" s="22" t="n">
        <f aca="false">I7*12</f>
        <v>530400</v>
      </c>
    </row>
    <row r="8" customFormat="false" ht="16.4" hidden="false" customHeight="false" outlineLevel="0" collapsed="false">
      <c r="B8" s="8" t="s">
        <v>201</v>
      </c>
      <c r="C8" s="11" t="n">
        <v>60000</v>
      </c>
      <c r="D8" s="14" t="n">
        <v>0.1</v>
      </c>
      <c r="E8" s="22" t="n">
        <f aca="false">C8*D8</f>
        <v>6000</v>
      </c>
      <c r="F8" s="22" t="n">
        <f aca="false">E8*12</f>
        <v>72000</v>
      </c>
      <c r="G8" s="11" t="n">
        <v>120000</v>
      </c>
      <c r="H8" s="14" t="n">
        <v>0.3</v>
      </c>
      <c r="I8" s="22" t="n">
        <f aca="false">G8*H8</f>
        <v>36000</v>
      </c>
      <c r="J8" s="22" t="n">
        <f aca="false">I8*12</f>
        <v>432000</v>
      </c>
    </row>
    <row r="9" customFormat="false" ht="16.4" hidden="false" customHeight="false" outlineLevel="0" collapsed="false">
      <c r="B9" s="8" t="s">
        <v>202</v>
      </c>
      <c r="C9" s="11" t="n">
        <v>0</v>
      </c>
      <c r="D9" s="14" t="n">
        <v>0</v>
      </c>
      <c r="E9" s="22" t="n">
        <f aca="false">C9*D9</f>
        <v>0</v>
      </c>
      <c r="F9" s="22" t="n">
        <f aca="false">E9*12</f>
        <v>0</v>
      </c>
      <c r="G9" s="11" t="n">
        <v>60000</v>
      </c>
      <c r="H9" s="14" t="n">
        <v>0.1</v>
      </c>
      <c r="I9" s="22" t="n">
        <f aca="false">G9*H9</f>
        <v>6000</v>
      </c>
      <c r="J9" s="22" t="n">
        <f aca="false">I9*12</f>
        <v>72000</v>
      </c>
    </row>
    <row r="10" customFormat="false" ht="16.4" hidden="false" customHeight="false" outlineLevel="0" collapsed="false">
      <c r="B10" s="8" t="s">
        <v>203</v>
      </c>
      <c r="C10" s="11" t="n">
        <v>0</v>
      </c>
      <c r="D10" s="14" t="n">
        <v>0</v>
      </c>
      <c r="E10" s="22" t="n">
        <f aca="false">C10*D10</f>
        <v>0</v>
      </c>
      <c r="F10" s="22" t="n">
        <f aca="false">E10*12</f>
        <v>0</v>
      </c>
      <c r="G10" s="11" t="n">
        <v>40000</v>
      </c>
      <c r="H10" s="14" t="n">
        <v>0.05</v>
      </c>
      <c r="I10" s="22" t="n">
        <f aca="false">G10*H10</f>
        <v>2000</v>
      </c>
      <c r="J10" s="22" t="n">
        <f aca="false">I10*12</f>
        <v>24000</v>
      </c>
    </row>
    <row r="11" customFormat="false" ht="16.4" hidden="false" customHeight="false" outlineLevel="0" collapsed="false">
      <c r="B11" s="8" t="s">
        <v>204</v>
      </c>
      <c r="C11" s="11" t="n">
        <v>80000</v>
      </c>
      <c r="D11" s="14" t="n">
        <v>0.2</v>
      </c>
      <c r="E11" s="22" t="n">
        <f aca="false">C11*D11</f>
        <v>16000</v>
      </c>
      <c r="F11" s="22" t="n">
        <f aca="false">E11*12</f>
        <v>192000</v>
      </c>
      <c r="G11" s="11" t="n">
        <v>220000</v>
      </c>
      <c r="H11" s="14" t="n">
        <v>0.28</v>
      </c>
      <c r="I11" s="22" t="n">
        <f aca="false">G11*H11</f>
        <v>61600</v>
      </c>
      <c r="J11" s="22" t="n">
        <f aca="false">I11*12</f>
        <v>739200</v>
      </c>
    </row>
    <row r="12" customFormat="false" ht="16.4" hidden="false" customHeight="false" outlineLevel="0" collapsed="false">
      <c r="B12" s="8" t="s">
        <v>205</v>
      </c>
      <c r="C12" s="11" t="n">
        <v>90000</v>
      </c>
      <c r="D12" s="14" t="n">
        <v>0.45</v>
      </c>
      <c r="E12" s="22" t="n">
        <f aca="false">C12*D12</f>
        <v>40500</v>
      </c>
      <c r="F12" s="22" t="n">
        <f aca="false">E12*12</f>
        <v>486000</v>
      </c>
      <c r="G12" s="11" t="n">
        <v>320000</v>
      </c>
      <c r="H12" s="14" t="n">
        <v>0.5</v>
      </c>
      <c r="I12" s="22" t="n">
        <f aca="false">G12*H12</f>
        <v>160000</v>
      </c>
      <c r="J12" s="22" t="n">
        <f aca="false">I12*12</f>
        <v>1920000</v>
      </c>
    </row>
    <row r="13" customFormat="false" ht="16.4" hidden="false" customHeight="false" outlineLevel="0" collapsed="false">
      <c r="B13" s="17" t="s">
        <v>206</v>
      </c>
      <c r="C13" s="11" t="n">
        <v>25000</v>
      </c>
      <c r="D13" s="14" t="n">
        <v>0.22</v>
      </c>
      <c r="E13" s="22" t="n">
        <f aca="false">C13*D13</f>
        <v>5500</v>
      </c>
      <c r="F13" s="22" t="n">
        <f aca="false">E13*12</f>
        <v>66000</v>
      </c>
      <c r="G13" s="11" t="n">
        <v>110000</v>
      </c>
      <c r="H13" s="14" t="n">
        <v>0.3</v>
      </c>
      <c r="I13" s="22" t="n">
        <f aca="false">G13*H13</f>
        <v>33000</v>
      </c>
      <c r="J13" s="22" t="n">
        <f aca="false">I13*12</f>
        <v>396000</v>
      </c>
    </row>
    <row r="14" customFormat="false" ht="15" hidden="false" customHeight="false" outlineLevel="0" collapsed="false">
      <c r="B14" s="8" t="s">
        <v>207</v>
      </c>
      <c r="C14" s="11" t="n">
        <v>0</v>
      </c>
      <c r="D14" s="14" t="n">
        <v>0</v>
      </c>
      <c r="E14" s="22" t="n">
        <f aca="false">C14*D14</f>
        <v>0</v>
      </c>
      <c r="F14" s="22" t="n">
        <f aca="false">E14*12</f>
        <v>0</v>
      </c>
      <c r="G14" s="11" t="n">
        <v>30000</v>
      </c>
      <c r="H14" s="14" t="n">
        <v>0.18</v>
      </c>
      <c r="I14" s="22" t="n">
        <f aca="false">G14*H14</f>
        <v>5400</v>
      </c>
      <c r="J14" s="22" t="n">
        <f aca="false">I14*12</f>
        <v>64800</v>
      </c>
    </row>
    <row r="15" customFormat="false" ht="15" hidden="false" customHeight="false" outlineLevel="0" collapsed="false">
      <c r="B15" s="18" t="s">
        <v>104</v>
      </c>
      <c r="C15" s="19" t="n">
        <f aca="false">SUM(C6:C14)</f>
        <v>495000</v>
      </c>
      <c r="D15" s="31" t="n">
        <f aca="false">E15/C15</f>
        <v>0.283636363636364</v>
      </c>
      <c r="E15" s="19" t="n">
        <f aca="false">SUM(E6:E14)</f>
        <v>140400</v>
      </c>
      <c r="F15" s="19" t="n">
        <f aca="false">SUM(F6:F14)</f>
        <v>1684800</v>
      </c>
      <c r="G15" s="19" t="n">
        <f aca="false">SUM(G6:G14)</f>
        <v>1175000</v>
      </c>
      <c r="H15" s="31" t="n">
        <f aca="false">I15/G15</f>
        <v>0.340765957446809</v>
      </c>
      <c r="I15" s="19" t="n">
        <f aca="false">SUM(I6:I14)</f>
        <v>400400</v>
      </c>
      <c r="J15" s="19" t="n">
        <f aca="false">SUM(J6:J14)</f>
        <v>4804800</v>
      </c>
    </row>
    <row r="17" customFormat="false" ht="15" hidden="false" customHeight="false" outlineLevel="0" collapsed="false">
      <c r="B17" s="7" t="s">
        <v>208</v>
      </c>
    </row>
    <row r="18" customFormat="false" ht="16.4" hidden="false" customHeight="false" outlineLevel="0" collapsed="false">
      <c r="B18" s="8" t="s">
        <v>209</v>
      </c>
      <c r="C18" s="11" t="n">
        <v>8000</v>
      </c>
      <c r="G18" s="11" t="n">
        <v>12000</v>
      </c>
    </row>
    <row r="19" customFormat="false" ht="16.4" hidden="false" customHeight="false" outlineLevel="0" collapsed="false">
      <c r="B19" s="8" t="s">
        <v>210</v>
      </c>
      <c r="C19" s="11" t="n">
        <v>12000</v>
      </c>
      <c r="G19" s="11" t="n">
        <v>18000</v>
      </c>
    </row>
    <row r="20" customFormat="false" ht="15" hidden="false" customHeight="false" outlineLevel="0" collapsed="false">
      <c r="B20" s="8" t="s">
        <v>211</v>
      </c>
      <c r="C20" s="11" t="n">
        <v>5000</v>
      </c>
      <c r="G20" s="11" t="n">
        <v>12000</v>
      </c>
    </row>
    <row r="21" customFormat="false" ht="16.4" hidden="false" customHeight="false" outlineLevel="0" collapsed="false">
      <c r="B21" s="17" t="s">
        <v>212</v>
      </c>
      <c r="C21" s="11" t="n">
        <v>2000</v>
      </c>
      <c r="G21" s="11" t="n">
        <v>4000</v>
      </c>
    </row>
    <row r="22" customFormat="false" ht="16.4" hidden="false" customHeight="false" outlineLevel="0" collapsed="false">
      <c r="B22" s="8" t="s">
        <v>213</v>
      </c>
      <c r="C22" s="11" t="n">
        <v>1500</v>
      </c>
      <c r="G22" s="11" t="n">
        <v>3000</v>
      </c>
    </row>
    <row r="23" customFormat="false" ht="16.4" hidden="false" customHeight="false" outlineLevel="0" collapsed="false">
      <c r="B23" s="26" t="s">
        <v>214</v>
      </c>
      <c r="C23" s="24" t="n">
        <f aca="false">SUM(C18:C22)</f>
        <v>28500</v>
      </c>
      <c r="G23" s="24" t="n">
        <f aca="false">SUM(G18:G22)</f>
        <v>49000</v>
      </c>
    </row>
    <row r="25" customFormat="false" ht="15" hidden="false" customHeight="false" outlineLevel="0" collapsed="false">
      <c r="B25" s="25" t="s">
        <v>215</v>
      </c>
      <c r="C25" s="32" t="n">
        <f aca="false">E15-C23</f>
        <v>111900</v>
      </c>
      <c r="G25" s="32" t="n">
        <f aca="false">I15-G23</f>
        <v>351400</v>
      </c>
    </row>
    <row r="26" customFormat="false" ht="15" hidden="false" customHeight="false" outlineLevel="0" collapsed="false">
      <c r="B26" s="25" t="s">
        <v>216</v>
      </c>
      <c r="C26" s="32" t="n">
        <f aca="false">C25*12</f>
        <v>1342800</v>
      </c>
      <c r="G26" s="32" t="n">
        <f aca="false">G25*12</f>
        <v>4216800</v>
      </c>
    </row>
    <row r="27" customFormat="false" ht="15" hidden="false" customHeight="false" outlineLevel="0" collapsed="false">
      <c r="B27" s="8" t="s">
        <v>217</v>
      </c>
      <c r="C27" s="28" t="n">
        <f aca="false">C25/C15</f>
        <v>0.226060606060606</v>
      </c>
      <c r="G27" s="28" t="n">
        <f aca="false">G25/G15</f>
        <v>0.299063829787234</v>
      </c>
    </row>
    <row r="29" customFormat="false" ht="15" hidden="false" customHeight="false" outlineLevel="0" collapsed="false">
      <c r="B29" s="8" t="s">
        <v>218</v>
      </c>
      <c r="C29" s="11" t="n">
        <v>5</v>
      </c>
      <c r="G29" s="11" t="n">
        <v>9</v>
      </c>
    </row>
    <row r="30" customFormat="false" ht="16.4" hidden="false" customHeight="false" outlineLevel="0" collapsed="false">
      <c r="B30" s="8" t="s">
        <v>219</v>
      </c>
      <c r="C30" s="22" t="n">
        <f aca="false">C27/C29</f>
        <v>0.0452121212121212</v>
      </c>
      <c r="G30" s="22" t="n">
        <f aca="false">G27/G29</f>
        <v>0.0332293144208038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2026-05-09T06:58:32Z</dcterms:created>
  <dc:creator>openpyxl</dc:creator>
  <dc:description/>
  <dc:language>zh-CN</dc:language>
  <cp:lastModifiedBy/>
  <dcterms:modified xsi:type="dcterms:W3CDTF">2026-05-09T06:58:32Z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